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LYMAYOR\MEAM\PAVIMENTOS\8. 28-03-2022 Diseño de Pavimentos V.5\8. Anexo 8 Verificación mecánico empirica\"/>
    </mc:Choice>
  </mc:AlternateContent>
  <xr:revisionPtr revIDLastSave="0" documentId="13_ncr:1_{944E2FCA-355E-4E57-8457-1B09F498C8A1}" xr6:coauthVersionLast="47" xr6:coauthVersionMax="47" xr10:uidLastSave="{00000000-0000-0000-0000-000000000000}"/>
  <bookViews>
    <workbookView xWindow="690" yWindow="420" windowWidth="19260" windowHeight="10380" firstSheet="8" activeTab="9" xr2:uid="{00000000-000D-0000-FFFF-FFFF00000000}"/>
  </bookViews>
  <sheets>
    <sheet name="Verificación Racional-Cl40sur" sheetId="7" r:id="rId1"/>
    <sheet name="Verificación Racional-Cl41sur" sheetId="17" r:id="rId2"/>
    <sheet name="Verificación Racional-Cra3AEste" sheetId="18" r:id="rId3"/>
    <sheet name="Verificación Racional-Cra3CEste" sheetId="19" r:id="rId4"/>
    <sheet name="Verificación Racional-CL43AS" sheetId="15" r:id="rId5"/>
    <sheet name="Verificación Racional-CL43S" sheetId="16" r:id="rId6"/>
    <sheet name="Verificación Racional-CRA 12AE" sheetId="21" r:id="rId7"/>
    <sheet name="Verificación Racional-CRA 12BE" sheetId="22" r:id="rId8"/>
    <sheet name="calculo de Esf La Victoria " sheetId="20" r:id="rId9"/>
    <sheet name="calculo de Esf Altamira" sheetId="14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20" l="1"/>
  <c r="P14" i="20"/>
  <c r="P2" i="20"/>
  <c r="N2" i="14"/>
  <c r="G118" i="14"/>
  <c r="G119" i="14"/>
  <c r="G120" i="14"/>
  <c r="G121" i="14"/>
  <c r="I121" i="14" s="1"/>
  <c r="G122" i="14"/>
  <c r="G123" i="14"/>
  <c r="I123" i="14" s="1"/>
  <c r="G124" i="14"/>
  <c r="G125" i="14"/>
  <c r="G126" i="14"/>
  <c r="G127" i="14"/>
  <c r="G128" i="14"/>
  <c r="G129" i="14"/>
  <c r="I129" i="14" s="1"/>
  <c r="G130" i="14"/>
  <c r="G131" i="14"/>
  <c r="G132" i="14"/>
  <c r="G133" i="14"/>
  <c r="I133" i="14" s="1"/>
  <c r="G117" i="14"/>
  <c r="G116" i="14"/>
  <c r="G115" i="14"/>
  <c r="G114" i="14"/>
  <c r="I127" i="14"/>
  <c r="I128" i="14"/>
  <c r="I130" i="14"/>
  <c r="I131" i="14"/>
  <c r="I132" i="14"/>
  <c r="H133" i="14"/>
  <c r="H118" i="14"/>
  <c r="D123" i="14"/>
  <c r="D117" i="14"/>
  <c r="D114" i="14"/>
  <c r="H103" i="14"/>
  <c r="H88" i="14"/>
  <c r="E93" i="14"/>
  <c r="E94" i="14"/>
  <c r="E95" i="14"/>
  <c r="E96" i="14"/>
  <c r="E97" i="14"/>
  <c r="E98" i="14"/>
  <c r="E99" i="14"/>
  <c r="E100" i="14"/>
  <c r="E101" i="14"/>
  <c r="E102" i="14"/>
  <c r="E103" i="14"/>
  <c r="D87" i="14"/>
  <c r="D84" i="14"/>
  <c r="H73" i="14"/>
  <c r="D54" i="14"/>
  <c r="H135" i="14"/>
  <c r="I126" i="14"/>
  <c r="I125" i="14"/>
  <c r="I124" i="14"/>
  <c r="I122" i="14"/>
  <c r="I120" i="14"/>
  <c r="I119" i="14"/>
  <c r="I118" i="14"/>
  <c r="I117" i="14"/>
  <c r="I116" i="14"/>
  <c r="I115" i="14"/>
  <c r="I114" i="14"/>
  <c r="H105" i="14"/>
  <c r="G103" i="14"/>
  <c r="I103" i="14" s="1"/>
  <c r="G102" i="14"/>
  <c r="I102" i="14" s="1"/>
  <c r="G101" i="14"/>
  <c r="I101" i="14" s="1"/>
  <c r="G100" i="14"/>
  <c r="I100" i="14" s="1"/>
  <c r="G99" i="14"/>
  <c r="I99" i="14" s="1"/>
  <c r="G98" i="14"/>
  <c r="I98" i="14" s="1"/>
  <c r="G97" i="14"/>
  <c r="I97" i="14" s="1"/>
  <c r="G96" i="14"/>
  <c r="I96" i="14" s="1"/>
  <c r="G95" i="14"/>
  <c r="I95" i="14" s="1"/>
  <c r="G94" i="14"/>
  <c r="I94" i="14" s="1"/>
  <c r="G93" i="14"/>
  <c r="I93" i="14" s="1"/>
  <c r="G92" i="14"/>
  <c r="I92" i="14" s="1"/>
  <c r="G91" i="14"/>
  <c r="I91" i="14" s="1"/>
  <c r="G90" i="14"/>
  <c r="I90" i="14" s="1"/>
  <c r="G89" i="14"/>
  <c r="I89" i="14" s="1"/>
  <c r="G88" i="14"/>
  <c r="I88" i="14" s="1"/>
  <c r="G87" i="14"/>
  <c r="I87" i="14" s="1"/>
  <c r="G86" i="14"/>
  <c r="I86" i="14" s="1"/>
  <c r="G85" i="14"/>
  <c r="I85" i="14" s="1"/>
  <c r="G84" i="14"/>
  <c r="I84" i="14" s="1"/>
  <c r="H75" i="14"/>
  <c r="G73" i="14"/>
  <c r="G72" i="14"/>
  <c r="I72" i="14" s="1"/>
  <c r="G71" i="14"/>
  <c r="I71" i="14" s="1"/>
  <c r="I70" i="14"/>
  <c r="G70" i="14"/>
  <c r="G69" i="14"/>
  <c r="I69" i="14" s="1"/>
  <c r="G68" i="14"/>
  <c r="I68" i="14" s="1"/>
  <c r="I67" i="14"/>
  <c r="G67" i="14"/>
  <c r="G66" i="14"/>
  <c r="I66" i="14" s="1"/>
  <c r="G65" i="14"/>
  <c r="I65" i="14" s="1"/>
  <c r="I64" i="14"/>
  <c r="G64" i="14"/>
  <c r="G63" i="14"/>
  <c r="I63" i="14" s="1"/>
  <c r="G62" i="14"/>
  <c r="I62" i="14" s="1"/>
  <c r="I61" i="14"/>
  <c r="G61" i="14"/>
  <c r="G60" i="14"/>
  <c r="I60" i="14" s="1"/>
  <c r="G59" i="14"/>
  <c r="I59" i="14" s="1"/>
  <c r="I58" i="14"/>
  <c r="G58" i="14"/>
  <c r="G57" i="14"/>
  <c r="I57" i="14" s="1"/>
  <c r="G56" i="14"/>
  <c r="I56" i="14" s="1"/>
  <c r="I55" i="14"/>
  <c r="G55" i="14"/>
  <c r="G54" i="14"/>
  <c r="I54" i="14" s="1"/>
  <c r="E47" i="14"/>
  <c r="G24" i="14"/>
  <c r="I43" i="14"/>
  <c r="G43" i="14"/>
  <c r="I42" i="14"/>
  <c r="G42" i="14"/>
  <c r="G41" i="14"/>
  <c r="I41" i="14" s="1"/>
  <c r="I40" i="14"/>
  <c r="G40" i="14"/>
  <c r="I39" i="14"/>
  <c r="G39" i="14"/>
  <c r="G38" i="14"/>
  <c r="I38" i="14" s="1"/>
  <c r="I37" i="14"/>
  <c r="G37" i="14"/>
  <c r="I36" i="14"/>
  <c r="G36" i="14"/>
  <c r="G35" i="14"/>
  <c r="I35" i="14" s="1"/>
  <c r="G34" i="14"/>
  <c r="I34" i="14" s="1"/>
  <c r="G33" i="14"/>
  <c r="I33" i="14" s="1"/>
  <c r="G32" i="14"/>
  <c r="I32" i="14" s="1"/>
  <c r="G31" i="14"/>
  <c r="I31" i="14" s="1"/>
  <c r="G30" i="14"/>
  <c r="I30" i="14" s="1"/>
  <c r="G29" i="14"/>
  <c r="I29" i="14" s="1"/>
  <c r="H45" i="14"/>
  <c r="G28" i="14"/>
  <c r="I28" i="14" s="1"/>
  <c r="I27" i="14"/>
  <c r="G27" i="14"/>
  <c r="I26" i="14"/>
  <c r="G26" i="14"/>
  <c r="I25" i="14"/>
  <c r="G25" i="14"/>
  <c r="I24" i="14"/>
  <c r="H131" i="20"/>
  <c r="H133" i="20" s="1"/>
  <c r="H114" i="20"/>
  <c r="H116" i="20"/>
  <c r="D116" i="20"/>
  <c r="D112" i="20"/>
  <c r="E121" i="20"/>
  <c r="E122" i="20"/>
  <c r="E123" i="20"/>
  <c r="E124" i="20"/>
  <c r="E125" i="20"/>
  <c r="E126" i="20"/>
  <c r="E127" i="20"/>
  <c r="E128" i="20"/>
  <c r="E129" i="20"/>
  <c r="E130" i="20"/>
  <c r="E131" i="20"/>
  <c r="G112" i="20"/>
  <c r="G131" i="20"/>
  <c r="I131" i="20" s="1"/>
  <c r="I130" i="20"/>
  <c r="G130" i="20"/>
  <c r="G129" i="20"/>
  <c r="I129" i="20" s="1"/>
  <c r="G128" i="20"/>
  <c r="I128" i="20" s="1"/>
  <c r="I127" i="20"/>
  <c r="G127" i="20"/>
  <c r="G126" i="20"/>
  <c r="I126" i="20" s="1"/>
  <c r="G125" i="20"/>
  <c r="I125" i="20" s="1"/>
  <c r="I124" i="20"/>
  <c r="G124" i="20"/>
  <c r="I123" i="20"/>
  <c r="G123" i="20"/>
  <c r="G122" i="20"/>
  <c r="I122" i="20" s="1"/>
  <c r="I121" i="20"/>
  <c r="G121" i="20"/>
  <c r="I120" i="20"/>
  <c r="G120" i="20"/>
  <c r="G119" i="20"/>
  <c r="I119" i="20" s="1"/>
  <c r="I118" i="20"/>
  <c r="G118" i="20"/>
  <c r="I117" i="20"/>
  <c r="G117" i="20"/>
  <c r="G116" i="20"/>
  <c r="G115" i="20"/>
  <c r="I115" i="20" s="1"/>
  <c r="G114" i="20"/>
  <c r="I114" i="20" s="1"/>
  <c r="I113" i="20"/>
  <c r="G113" i="20"/>
  <c r="I112" i="20"/>
  <c r="I104" i="20"/>
  <c r="H104" i="20"/>
  <c r="H102" i="20"/>
  <c r="H95" i="20"/>
  <c r="H87" i="20"/>
  <c r="G83" i="20"/>
  <c r="E47" i="20"/>
  <c r="G102" i="20"/>
  <c r="I102" i="20" s="1"/>
  <c r="I101" i="20"/>
  <c r="G101" i="20"/>
  <c r="G100" i="20"/>
  <c r="I100" i="20" s="1"/>
  <c r="G99" i="20"/>
  <c r="I99" i="20" s="1"/>
  <c r="I98" i="20"/>
  <c r="G98" i="20"/>
  <c r="G97" i="20"/>
  <c r="I97" i="20" s="1"/>
  <c r="G96" i="20"/>
  <c r="I96" i="20" s="1"/>
  <c r="I95" i="20"/>
  <c r="G95" i="20"/>
  <c r="G94" i="20"/>
  <c r="I94" i="20" s="1"/>
  <c r="G93" i="20"/>
  <c r="I93" i="20" s="1"/>
  <c r="I92" i="20"/>
  <c r="G92" i="20"/>
  <c r="G91" i="20"/>
  <c r="I91" i="20" s="1"/>
  <c r="G90" i="20"/>
  <c r="I90" i="20" s="1"/>
  <c r="I89" i="20"/>
  <c r="G89" i="20"/>
  <c r="G88" i="20"/>
  <c r="I88" i="20" s="1"/>
  <c r="G87" i="20"/>
  <c r="G86" i="20"/>
  <c r="I86" i="20" s="1"/>
  <c r="G85" i="20"/>
  <c r="I85" i="20" s="1"/>
  <c r="I84" i="20"/>
  <c r="G84" i="20"/>
  <c r="I83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D92" i="20"/>
  <c r="D86" i="20"/>
  <c r="D83" i="20"/>
  <c r="H73" i="20"/>
  <c r="H66" i="20"/>
  <c r="I62" i="20"/>
  <c r="I63" i="20"/>
  <c r="I64" i="20"/>
  <c r="I65" i="20"/>
  <c r="I66" i="20"/>
  <c r="I67" i="20"/>
  <c r="I68" i="20"/>
  <c r="I69" i="20"/>
  <c r="I70" i="20"/>
  <c r="I71" i="20"/>
  <c r="I72" i="20"/>
  <c r="I73" i="20"/>
  <c r="I55" i="20"/>
  <c r="I56" i="20"/>
  <c r="I57" i="20"/>
  <c r="I58" i="20"/>
  <c r="I59" i="20"/>
  <c r="I60" i="20"/>
  <c r="I61" i="20"/>
  <c r="I54" i="20"/>
  <c r="H58" i="20"/>
  <c r="D63" i="20"/>
  <c r="E63" i="20"/>
  <c r="D57" i="20"/>
  <c r="D54" i="20"/>
  <c r="D56" i="20"/>
  <c r="D45" i="20"/>
  <c r="H4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H43" i="20"/>
  <c r="H36" i="20"/>
  <c r="H28" i="20"/>
  <c r="D32" i="20"/>
  <c r="D27" i="20"/>
  <c r="D29" i="20"/>
  <c r="D25" i="20"/>
  <c r="D26" i="20"/>
  <c r="D24" i="20"/>
  <c r="I25" i="20"/>
  <c r="I24" i="20"/>
  <c r="I73" i="14" l="1"/>
  <c r="I75" i="14"/>
  <c r="I135" i="14"/>
  <c r="I105" i="14"/>
  <c r="I45" i="14"/>
  <c r="I116" i="20"/>
  <c r="I133" i="20" s="1"/>
  <c r="I87" i="20"/>
  <c r="I45" i="20"/>
  <c r="D45" i="14" l="1"/>
  <c r="E34" i="17" l="1"/>
  <c r="C63" i="7"/>
  <c r="C69" i="7"/>
  <c r="B71" i="7"/>
  <c r="E123" i="14"/>
  <c r="E124" i="14"/>
  <c r="E125" i="14"/>
  <c r="E126" i="14"/>
  <c r="E127" i="14"/>
  <c r="E128" i="14"/>
  <c r="E129" i="14"/>
  <c r="E130" i="14"/>
  <c r="E131" i="14"/>
  <c r="E132" i="14"/>
  <c r="E133" i="14"/>
  <c r="D105" i="14"/>
  <c r="E63" i="14"/>
  <c r="E64" i="14"/>
  <c r="E65" i="14"/>
  <c r="E66" i="14"/>
  <c r="E67" i="14"/>
  <c r="E68" i="14"/>
  <c r="E69" i="14"/>
  <c r="E70" i="14"/>
  <c r="E71" i="14"/>
  <c r="E72" i="14"/>
  <c r="E73" i="14"/>
  <c r="E33" i="14"/>
  <c r="E33" i="20"/>
  <c r="E34" i="20"/>
  <c r="E35" i="20"/>
  <c r="E36" i="20"/>
  <c r="E37" i="20"/>
  <c r="E38" i="20"/>
  <c r="E39" i="20"/>
  <c r="E40" i="20"/>
  <c r="E41" i="20"/>
  <c r="E42" i="20"/>
  <c r="E43" i="20"/>
  <c r="O20" i="20"/>
  <c r="O14" i="20"/>
  <c r="O8" i="20"/>
  <c r="O2" i="20"/>
  <c r="Q2" i="20" s="1"/>
  <c r="AD2" i="20" s="1"/>
  <c r="D133" i="20" l="1"/>
  <c r="C131" i="20"/>
  <c r="C130" i="20"/>
  <c r="C129" i="20"/>
  <c r="C128" i="20"/>
  <c r="C127" i="20"/>
  <c r="C126" i="20"/>
  <c r="C125" i="20"/>
  <c r="C124" i="20"/>
  <c r="C123" i="20"/>
  <c r="C122" i="20"/>
  <c r="C121" i="20"/>
  <c r="C120" i="20"/>
  <c r="E120" i="20" s="1"/>
  <c r="E119" i="20"/>
  <c r="C119" i="20"/>
  <c r="E118" i="20"/>
  <c r="C118" i="20"/>
  <c r="E117" i="20"/>
  <c r="C117" i="20"/>
  <c r="C116" i="20"/>
  <c r="E116" i="20" s="1"/>
  <c r="E115" i="20"/>
  <c r="C115" i="20"/>
  <c r="E114" i="20"/>
  <c r="C114" i="20"/>
  <c r="E113" i="20"/>
  <c r="C113" i="20"/>
  <c r="C112" i="20"/>
  <c r="E112" i="20" s="1"/>
  <c r="E133" i="20" s="1"/>
  <c r="C102" i="20"/>
  <c r="C101" i="20"/>
  <c r="C100" i="20"/>
  <c r="C99" i="20"/>
  <c r="C98" i="20"/>
  <c r="C97" i="20"/>
  <c r="C96" i="20"/>
  <c r="C95" i="20"/>
  <c r="C94" i="20"/>
  <c r="C93" i="20"/>
  <c r="C92" i="20"/>
  <c r="C91" i="20"/>
  <c r="C90" i="20"/>
  <c r="C89" i="20"/>
  <c r="E89" i="20" s="1"/>
  <c r="C88" i="20"/>
  <c r="E88" i="20" s="1"/>
  <c r="C87" i="20"/>
  <c r="E87" i="20" s="1"/>
  <c r="C86" i="20"/>
  <c r="E86" i="20" s="1"/>
  <c r="D104" i="20"/>
  <c r="C85" i="20"/>
  <c r="E85" i="20" s="1"/>
  <c r="C84" i="20"/>
  <c r="E84" i="20" s="1"/>
  <c r="C83" i="20"/>
  <c r="E83" i="20" s="1"/>
  <c r="E135" i="20" l="1"/>
  <c r="E104" i="20"/>
  <c r="D135" i="14" l="1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E122" i="14" s="1"/>
  <c r="C121" i="14"/>
  <c r="E121" i="14" s="1"/>
  <c r="E120" i="14"/>
  <c r="C120" i="14"/>
  <c r="C119" i="14"/>
  <c r="E119" i="14" s="1"/>
  <c r="C118" i="14"/>
  <c r="E118" i="14" s="1"/>
  <c r="C117" i="14"/>
  <c r="E117" i="14" s="1"/>
  <c r="E116" i="14"/>
  <c r="C116" i="14"/>
  <c r="C115" i="14"/>
  <c r="E115" i="14" s="1"/>
  <c r="C114" i="14"/>
  <c r="E114" i="14" s="1"/>
  <c r="E135" i="14" l="1"/>
  <c r="E137" i="14" l="1"/>
  <c r="N20" i="14" s="1"/>
  <c r="M20" i="14"/>
  <c r="M14" i="14"/>
  <c r="M8" i="14"/>
  <c r="M2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E92" i="14" s="1"/>
  <c r="C91" i="14"/>
  <c r="E91" i="14" s="1"/>
  <c r="C90" i="14"/>
  <c r="E90" i="14" s="1"/>
  <c r="C89" i="14"/>
  <c r="E89" i="14" s="1"/>
  <c r="C88" i="14"/>
  <c r="E88" i="14" s="1"/>
  <c r="C87" i="14"/>
  <c r="E87" i="14" s="1"/>
  <c r="C86" i="14"/>
  <c r="E86" i="14" s="1"/>
  <c r="C85" i="14"/>
  <c r="E85" i="14" s="1"/>
  <c r="E84" i="14"/>
  <c r="C84" i="14"/>
  <c r="E105" i="14" l="1"/>
  <c r="E107" i="14" s="1"/>
  <c r="N14" i="14" s="1"/>
  <c r="E187" i="22"/>
  <c r="K140" i="22"/>
  <c r="D140" i="22"/>
  <c r="B71" i="22"/>
  <c r="C69" i="22"/>
  <c r="C63" i="22"/>
  <c r="E53" i="22"/>
  <c r="E52" i="22"/>
  <c r="D36" i="22"/>
  <c r="C36" i="22"/>
  <c r="D111" i="22" s="1"/>
  <c r="E34" i="22"/>
  <c r="E36" i="22" s="1"/>
  <c r="C34" i="22"/>
  <c r="B65" i="22" s="1"/>
  <c r="H21" i="22"/>
  <c r="I20" i="22"/>
  <c r="E20" i="22"/>
  <c r="E20" i="21"/>
  <c r="E187" i="21"/>
  <c r="K140" i="21"/>
  <c r="D140" i="21" s="1"/>
  <c r="B71" i="21"/>
  <c r="C63" i="21"/>
  <c r="E53" i="21"/>
  <c r="E52" i="21"/>
  <c r="D36" i="21"/>
  <c r="E34" i="21"/>
  <c r="E36" i="21" s="1"/>
  <c r="C34" i="21"/>
  <c r="C36" i="21" s="1"/>
  <c r="H21" i="21"/>
  <c r="I20" i="21"/>
  <c r="E20" i="16"/>
  <c r="D113" i="22" l="1"/>
  <c r="E129" i="22"/>
  <c r="D200" i="22" s="1"/>
  <c r="F200" i="22" s="1"/>
  <c r="E127" i="22"/>
  <c r="D199" i="22" s="1"/>
  <c r="F199" i="22" s="1"/>
  <c r="E125" i="22"/>
  <c r="D198" i="22" s="1"/>
  <c r="F198" i="22" s="1"/>
  <c r="E123" i="22"/>
  <c r="D197" i="22" s="1"/>
  <c r="F197" i="22" s="1"/>
  <c r="D148" i="22"/>
  <c r="E188" i="22"/>
  <c r="E190" i="22" s="1"/>
  <c r="E190" i="21"/>
  <c r="D111" i="21"/>
  <c r="E188" i="21"/>
  <c r="D113" i="21"/>
  <c r="E129" i="21"/>
  <c r="D200" i="21" s="1"/>
  <c r="F200" i="21" s="1"/>
  <c r="E125" i="21"/>
  <c r="D198" i="21" s="1"/>
  <c r="F198" i="21" s="1"/>
  <c r="E127" i="21"/>
  <c r="D199" i="21" s="1"/>
  <c r="F199" i="21" s="1"/>
  <c r="E123" i="21"/>
  <c r="D197" i="21" s="1"/>
  <c r="F197" i="21" s="1"/>
  <c r="D148" i="21"/>
  <c r="B65" i="21"/>
  <c r="C69" i="21"/>
  <c r="G73" i="20"/>
  <c r="C73" i="20"/>
  <c r="G72" i="20"/>
  <c r="C72" i="20"/>
  <c r="G71" i="20"/>
  <c r="C71" i="20"/>
  <c r="G70" i="20"/>
  <c r="C70" i="20"/>
  <c r="G69" i="20"/>
  <c r="C69" i="20"/>
  <c r="G68" i="20"/>
  <c r="C68" i="20"/>
  <c r="G67" i="20"/>
  <c r="C67" i="20"/>
  <c r="G66" i="20"/>
  <c r="C66" i="20"/>
  <c r="G65" i="20"/>
  <c r="C65" i="20"/>
  <c r="G64" i="20"/>
  <c r="C64" i="20"/>
  <c r="G63" i="20"/>
  <c r="C63" i="20"/>
  <c r="G62" i="20"/>
  <c r="C62" i="20"/>
  <c r="E62" i="20" s="1"/>
  <c r="G61" i="20"/>
  <c r="C61" i="20"/>
  <c r="E61" i="20" s="1"/>
  <c r="G60" i="20"/>
  <c r="C60" i="20"/>
  <c r="E60" i="20" s="1"/>
  <c r="G59" i="20"/>
  <c r="E59" i="20"/>
  <c r="C59" i="20"/>
  <c r="G58" i="20"/>
  <c r="C58" i="20"/>
  <c r="E58" i="20" s="1"/>
  <c r="G57" i="20"/>
  <c r="E57" i="20"/>
  <c r="C57" i="20"/>
  <c r="G56" i="20"/>
  <c r="C56" i="20"/>
  <c r="E56" i="20" s="1"/>
  <c r="G55" i="20"/>
  <c r="C55" i="20"/>
  <c r="E55" i="20" s="1"/>
  <c r="G54" i="20"/>
  <c r="C54" i="20"/>
  <c r="E54" i="20" s="1"/>
  <c r="G43" i="20"/>
  <c r="C43" i="20"/>
  <c r="G42" i="20"/>
  <c r="C42" i="20"/>
  <c r="G41" i="20"/>
  <c r="C41" i="20"/>
  <c r="G40" i="20"/>
  <c r="C40" i="20"/>
  <c r="G39" i="20"/>
  <c r="C39" i="20"/>
  <c r="G38" i="20"/>
  <c r="C38" i="20"/>
  <c r="G37" i="20"/>
  <c r="C37" i="20"/>
  <c r="G36" i="20"/>
  <c r="C36" i="20"/>
  <c r="G35" i="20"/>
  <c r="C35" i="20"/>
  <c r="G34" i="20"/>
  <c r="C34" i="20"/>
  <c r="G33" i="20"/>
  <c r="C33" i="20"/>
  <c r="G32" i="20"/>
  <c r="E32" i="20"/>
  <c r="C32" i="20"/>
  <c r="G31" i="20"/>
  <c r="C31" i="20"/>
  <c r="E31" i="20" s="1"/>
  <c r="G30" i="20"/>
  <c r="C30" i="20"/>
  <c r="E30" i="20" s="1"/>
  <c r="G29" i="20"/>
  <c r="C29" i="20"/>
  <c r="E29" i="20" s="1"/>
  <c r="G28" i="20"/>
  <c r="C28" i="20"/>
  <c r="E28" i="20" s="1"/>
  <c r="G27" i="20"/>
  <c r="E27" i="20"/>
  <c r="C27" i="20"/>
  <c r="G26" i="20"/>
  <c r="C26" i="20"/>
  <c r="G25" i="20"/>
  <c r="C25" i="20"/>
  <c r="E25" i="20" s="1"/>
  <c r="G24" i="20"/>
  <c r="E24" i="20"/>
  <c r="C24" i="20"/>
  <c r="AB20" i="20"/>
  <c r="Y20" i="20"/>
  <c r="V20" i="20" s="1"/>
  <c r="Q20" i="20"/>
  <c r="AB14" i="20"/>
  <c r="Y14" i="20"/>
  <c r="V14" i="20" s="1"/>
  <c r="Q14" i="20"/>
  <c r="AB8" i="20"/>
  <c r="Y8" i="20"/>
  <c r="V8" i="20"/>
  <c r="AB2" i="20"/>
  <c r="Y2" i="20"/>
  <c r="V2" i="20" s="1"/>
  <c r="C73" i="14"/>
  <c r="C72" i="14"/>
  <c r="C71" i="14"/>
  <c r="C70" i="14"/>
  <c r="C69" i="14"/>
  <c r="C68" i="14"/>
  <c r="C67" i="14"/>
  <c r="C66" i="14"/>
  <c r="C65" i="14"/>
  <c r="C64" i="14"/>
  <c r="C63" i="14"/>
  <c r="C62" i="14"/>
  <c r="E62" i="14" s="1"/>
  <c r="C61" i="14"/>
  <c r="E61" i="14" s="1"/>
  <c r="C60" i="14"/>
  <c r="E60" i="14" s="1"/>
  <c r="C59" i="14"/>
  <c r="E59" i="14" s="1"/>
  <c r="C58" i="14"/>
  <c r="E58" i="14" s="1"/>
  <c r="C57" i="14"/>
  <c r="E57" i="14" s="1"/>
  <c r="D75" i="14"/>
  <c r="C56" i="14"/>
  <c r="E56" i="14" s="1"/>
  <c r="C55" i="14"/>
  <c r="E55" i="14" s="1"/>
  <c r="C54" i="14"/>
  <c r="E54" i="14" s="1"/>
  <c r="C32" i="14"/>
  <c r="C28" i="14"/>
  <c r="E28" i="14" s="1"/>
  <c r="C25" i="14"/>
  <c r="E25" i="14" s="1"/>
  <c r="C26" i="14"/>
  <c r="E26" i="14" s="1"/>
  <c r="C27" i="14"/>
  <c r="C29" i="14"/>
  <c r="E29" i="14" s="1"/>
  <c r="C30" i="14"/>
  <c r="E30" i="14" s="1"/>
  <c r="C31" i="14"/>
  <c r="E31" i="14" s="1"/>
  <c r="C33" i="14"/>
  <c r="C34" i="14"/>
  <c r="C35" i="14"/>
  <c r="C36" i="14"/>
  <c r="C37" i="14"/>
  <c r="C38" i="14"/>
  <c r="C39" i="14"/>
  <c r="C40" i="14"/>
  <c r="C41" i="14"/>
  <c r="C42" i="14"/>
  <c r="C43" i="14"/>
  <c r="C24" i="14"/>
  <c r="AD14" i="20" l="1"/>
  <c r="E163" i="22"/>
  <c r="E162" i="22"/>
  <c r="J187" i="22"/>
  <c r="D116" i="22"/>
  <c r="I139" i="22" s="1"/>
  <c r="D116" i="21"/>
  <c r="I139" i="21" s="1"/>
  <c r="J187" i="21"/>
  <c r="E162" i="21"/>
  <c r="E163" i="21"/>
  <c r="E27" i="14"/>
  <c r="AD20" i="20"/>
  <c r="E26" i="20"/>
  <c r="E45" i="20" s="1"/>
  <c r="D75" i="20"/>
  <c r="E75" i="20"/>
  <c r="E75" i="14"/>
  <c r="E77" i="14" s="1"/>
  <c r="N8" i="14" s="1"/>
  <c r="E32" i="14"/>
  <c r="E24" i="14"/>
  <c r="C121" i="22" l="1"/>
  <c r="D179" i="22"/>
  <c r="D214" i="22" s="1"/>
  <c r="E214" i="22" s="1"/>
  <c r="D152" i="22"/>
  <c r="D212" i="22" s="1"/>
  <c r="E212" i="22" s="1"/>
  <c r="D165" i="22"/>
  <c r="D204" i="22" s="1"/>
  <c r="F204" i="22" s="1"/>
  <c r="D167" i="22"/>
  <c r="D213" i="22" s="1"/>
  <c r="E213" i="22" s="1"/>
  <c r="C120" i="22"/>
  <c r="D177" i="22"/>
  <c r="D205" i="22" s="1"/>
  <c r="F205" i="22" s="1"/>
  <c r="D150" i="22"/>
  <c r="D203" i="22" s="1"/>
  <c r="F203" i="22" s="1"/>
  <c r="C120" i="21"/>
  <c r="D177" i="21"/>
  <c r="D205" i="21" s="1"/>
  <c r="F205" i="21" s="1"/>
  <c r="C121" i="21"/>
  <c r="D167" i="21"/>
  <c r="D213" i="21" s="1"/>
  <c r="E213" i="21" s="1"/>
  <c r="D165" i="21"/>
  <c r="D204" i="21" s="1"/>
  <c r="F204" i="21" s="1"/>
  <c r="D179" i="21"/>
  <c r="D214" i="21" s="1"/>
  <c r="E214" i="21" s="1"/>
  <c r="D152" i="21"/>
  <c r="D212" i="21" s="1"/>
  <c r="E212" i="21" s="1"/>
  <c r="D150" i="21"/>
  <c r="D203" i="21" s="1"/>
  <c r="F203" i="21" s="1"/>
  <c r="E45" i="14"/>
  <c r="O2" i="14" s="1"/>
  <c r="O20" i="14"/>
  <c r="O8" i="14"/>
  <c r="Z20" i="14"/>
  <c r="W20" i="14"/>
  <c r="T20" i="14" s="1"/>
  <c r="Z14" i="14"/>
  <c r="W14" i="14"/>
  <c r="T14" i="14" s="1"/>
  <c r="O14" i="14"/>
  <c r="Z8" i="14"/>
  <c r="W8" i="14"/>
  <c r="T8" i="14" s="1"/>
  <c r="Z2" i="14"/>
  <c r="W2" i="14"/>
  <c r="T2" i="14" s="1"/>
  <c r="E19" i="19"/>
  <c r="E187" i="19"/>
  <c r="K140" i="19"/>
  <c r="D140" i="19" s="1"/>
  <c r="C69" i="19"/>
  <c r="B65" i="19"/>
  <c r="E53" i="19"/>
  <c r="E52" i="19"/>
  <c r="E34" i="19"/>
  <c r="E36" i="19" s="1"/>
  <c r="D34" i="19"/>
  <c r="C63" i="19" s="1"/>
  <c r="C34" i="19"/>
  <c r="C36" i="19" s="1"/>
  <c r="H21" i="19"/>
  <c r="E19" i="18"/>
  <c r="H21" i="18" s="1"/>
  <c r="E187" i="18"/>
  <c r="K140" i="18"/>
  <c r="D140" i="18" s="1"/>
  <c r="B65" i="18"/>
  <c r="E53" i="18"/>
  <c r="E52" i="18"/>
  <c r="C36" i="18"/>
  <c r="E188" i="18" s="1"/>
  <c r="E34" i="18"/>
  <c r="E36" i="18" s="1"/>
  <c r="D34" i="18"/>
  <c r="C63" i="18" s="1"/>
  <c r="C34" i="18"/>
  <c r="C69" i="18" s="1"/>
  <c r="E19" i="17"/>
  <c r="H21" i="17" s="1"/>
  <c r="E187" i="17"/>
  <c r="K140" i="17"/>
  <c r="D140" i="17" s="1"/>
  <c r="B71" i="17"/>
  <c r="E53" i="17"/>
  <c r="E52" i="17"/>
  <c r="E36" i="17"/>
  <c r="D34" i="17"/>
  <c r="D36" i="17" s="1"/>
  <c r="C34" i="17"/>
  <c r="C36" i="17" s="1"/>
  <c r="E19" i="7"/>
  <c r="E187" i="16"/>
  <c r="K140" i="16"/>
  <c r="D140" i="16" s="1"/>
  <c r="C69" i="16"/>
  <c r="B65" i="16"/>
  <c r="E53" i="16"/>
  <c r="E52" i="16"/>
  <c r="E34" i="16"/>
  <c r="E36" i="16" s="1"/>
  <c r="D34" i="16"/>
  <c r="C63" i="16" s="1"/>
  <c r="C34" i="16"/>
  <c r="C36" i="16" s="1"/>
  <c r="H21" i="16"/>
  <c r="I20" i="16"/>
  <c r="E187" i="15"/>
  <c r="K140" i="15"/>
  <c r="D140" i="15" s="1"/>
  <c r="B71" i="15"/>
  <c r="C69" i="15"/>
  <c r="C63" i="15"/>
  <c r="E53" i="15"/>
  <c r="E52" i="15"/>
  <c r="D36" i="15"/>
  <c r="C36" i="15"/>
  <c r="D111" i="15" s="1"/>
  <c r="E34" i="15"/>
  <c r="E36" i="15" s="1"/>
  <c r="C34" i="15"/>
  <c r="B65" i="15" s="1"/>
  <c r="H21" i="15"/>
  <c r="I20" i="15"/>
  <c r="K140" i="7"/>
  <c r="D140" i="7"/>
  <c r="D148" i="7" s="1"/>
  <c r="B65" i="7"/>
  <c r="H21" i="7"/>
  <c r="E34" i="7"/>
  <c r="E36" i="7" s="1"/>
  <c r="D34" i="7"/>
  <c r="C34" i="7"/>
  <c r="E187" i="7"/>
  <c r="E52" i="7"/>
  <c r="E53" i="7"/>
  <c r="AB14" i="14" l="1"/>
  <c r="AB8" i="14"/>
  <c r="AB2" i="14"/>
  <c r="AB20" i="14"/>
  <c r="E123" i="19"/>
  <c r="D197" i="19" s="1"/>
  <c r="F197" i="19" s="1"/>
  <c r="D113" i="19"/>
  <c r="J187" i="19" s="1"/>
  <c r="E129" i="19"/>
  <c r="D200" i="19" s="1"/>
  <c r="F200" i="19" s="1"/>
  <c r="E127" i="19"/>
  <c r="D199" i="19" s="1"/>
  <c r="F199" i="19" s="1"/>
  <c r="E125" i="19"/>
  <c r="D198" i="19" s="1"/>
  <c r="F198" i="19" s="1"/>
  <c r="D148" i="19"/>
  <c r="D111" i="19"/>
  <c r="E188" i="19"/>
  <c r="E190" i="19"/>
  <c r="B71" i="19"/>
  <c r="D36" i="19"/>
  <c r="E127" i="18"/>
  <c r="D199" i="18" s="1"/>
  <c r="F199" i="18" s="1"/>
  <c r="E123" i="18"/>
  <c r="D197" i="18" s="1"/>
  <c r="F197" i="18" s="1"/>
  <c r="D113" i="18"/>
  <c r="E129" i="18"/>
  <c r="D200" i="18" s="1"/>
  <c r="F200" i="18" s="1"/>
  <c r="E125" i="18"/>
  <c r="D198" i="18" s="1"/>
  <c r="F198" i="18" s="1"/>
  <c r="D148" i="18"/>
  <c r="E190" i="18"/>
  <c r="J187" i="18"/>
  <c r="D36" i="18"/>
  <c r="D111" i="18"/>
  <c r="B71" i="18"/>
  <c r="C63" i="17"/>
  <c r="E129" i="17"/>
  <c r="D200" i="17" s="1"/>
  <c r="F200" i="17" s="1"/>
  <c r="E127" i="17"/>
  <c r="D199" i="17" s="1"/>
  <c r="F199" i="17" s="1"/>
  <c r="D113" i="17"/>
  <c r="E125" i="17"/>
  <c r="D198" i="17" s="1"/>
  <c r="F198" i="17" s="1"/>
  <c r="E123" i="17"/>
  <c r="D197" i="17" s="1"/>
  <c r="F197" i="17" s="1"/>
  <c r="D148" i="17"/>
  <c r="E188" i="17"/>
  <c r="D111" i="17"/>
  <c r="E190" i="17"/>
  <c r="B65" i="17"/>
  <c r="C69" i="17"/>
  <c r="E129" i="16"/>
  <c r="D200" i="16" s="1"/>
  <c r="F200" i="16" s="1"/>
  <c r="E123" i="16"/>
  <c r="D197" i="16" s="1"/>
  <c r="F197" i="16" s="1"/>
  <c r="D113" i="16"/>
  <c r="E127" i="16"/>
  <c r="D199" i="16" s="1"/>
  <c r="F199" i="16" s="1"/>
  <c r="E125" i="16"/>
  <c r="D198" i="16" s="1"/>
  <c r="F198" i="16" s="1"/>
  <c r="D148" i="16"/>
  <c r="D111" i="16"/>
  <c r="E188" i="16"/>
  <c r="E190" i="16"/>
  <c r="B71" i="16"/>
  <c r="D36" i="16"/>
  <c r="E129" i="15"/>
  <c r="D200" i="15" s="1"/>
  <c r="F200" i="15" s="1"/>
  <c r="D113" i="15"/>
  <c r="E127" i="15"/>
  <c r="D199" i="15" s="1"/>
  <c r="F199" i="15" s="1"/>
  <c r="E125" i="15"/>
  <c r="D198" i="15" s="1"/>
  <c r="F198" i="15" s="1"/>
  <c r="E123" i="15"/>
  <c r="D197" i="15" s="1"/>
  <c r="F197" i="15" s="1"/>
  <c r="D148" i="15"/>
  <c r="E188" i="15"/>
  <c r="E190" i="15" s="1"/>
  <c r="C36" i="7"/>
  <c r="D36" i="7"/>
  <c r="D113" i="7"/>
  <c r="D116" i="7" s="1"/>
  <c r="D152" i="7" s="1"/>
  <c r="E125" i="7"/>
  <c r="D198" i="7" s="1"/>
  <c r="F198" i="7" s="1"/>
  <c r="E127" i="7"/>
  <c r="D199" i="7" s="1"/>
  <c r="F199" i="7" s="1"/>
  <c r="E129" i="7"/>
  <c r="D200" i="7" s="1"/>
  <c r="F200" i="7" s="1"/>
  <c r="E123" i="7"/>
  <c r="D197" i="7" s="1"/>
  <c r="F197" i="7" s="1"/>
  <c r="J187" i="16" l="1"/>
  <c r="E163" i="19"/>
  <c r="D116" i="19"/>
  <c r="D150" i="19" s="1"/>
  <c r="D203" i="19" s="1"/>
  <c r="F203" i="19" s="1"/>
  <c r="E162" i="19"/>
  <c r="J187" i="17"/>
  <c r="E163" i="18"/>
  <c r="D116" i="18"/>
  <c r="E162" i="18"/>
  <c r="E163" i="17"/>
  <c r="D116" i="17"/>
  <c r="E162" i="17"/>
  <c r="D150" i="7"/>
  <c r="E163" i="16"/>
  <c r="D116" i="16"/>
  <c r="C121" i="16" s="1"/>
  <c r="E162" i="16"/>
  <c r="D116" i="15"/>
  <c r="E162" i="15"/>
  <c r="J187" i="15"/>
  <c r="E163" i="15"/>
  <c r="D111" i="7"/>
  <c r="E188" i="7"/>
  <c r="E190" i="7" s="1"/>
  <c r="E162" i="7"/>
  <c r="E163" i="7"/>
  <c r="J187" i="7"/>
  <c r="D167" i="7"/>
  <c r="D213" i="7" s="1"/>
  <c r="E213" i="7" s="1"/>
  <c r="C121" i="19" l="1"/>
  <c r="D167" i="19"/>
  <c r="D213" i="19" s="1"/>
  <c r="E213" i="19" s="1"/>
  <c r="D165" i="19"/>
  <c r="D204" i="19" s="1"/>
  <c r="F204" i="19" s="1"/>
  <c r="D152" i="19"/>
  <c r="D212" i="19" s="1"/>
  <c r="E212" i="19" s="1"/>
  <c r="D179" i="19"/>
  <c r="D214" i="19" s="1"/>
  <c r="E214" i="19" s="1"/>
  <c r="D177" i="19"/>
  <c r="D205" i="19" s="1"/>
  <c r="F205" i="19" s="1"/>
  <c r="C120" i="19"/>
  <c r="I139" i="19"/>
  <c r="D167" i="18"/>
  <c r="D213" i="18" s="1"/>
  <c r="E213" i="18" s="1"/>
  <c r="D165" i="18"/>
  <c r="D204" i="18" s="1"/>
  <c r="F204" i="18" s="1"/>
  <c r="D177" i="18"/>
  <c r="D205" i="18" s="1"/>
  <c r="F205" i="18" s="1"/>
  <c r="D152" i="18"/>
  <c r="D212" i="18" s="1"/>
  <c r="E212" i="18" s="1"/>
  <c r="D179" i="18"/>
  <c r="D214" i="18" s="1"/>
  <c r="E214" i="18" s="1"/>
  <c r="D150" i="18"/>
  <c r="D203" i="18" s="1"/>
  <c r="F203" i="18" s="1"/>
  <c r="C120" i="18"/>
  <c r="C121" i="18"/>
  <c r="I139" i="18"/>
  <c r="C121" i="17"/>
  <c r="D177" i="17"/>
  <c r="D205" i="17" s="1"/>
  <c r="F205" i="17" s="1"/>
  <c r="D165" i="17"/>
  <c r="D204" i="17" s="1"/>
  <c r="F204" i="17" s="1"/>
  <c r="D152" i="17"/>
  <c r="D212" i="17" s="1"/>
  <c r="E212" i="17" s="1"/>
  <c r="D179" i="17"/>
  <c r="D214" i="17" s="1"/>
  <c r="E214" i="17" s="1"/>
  <c r="D167" i="17"/>
  <c r="D213" i="17" s="1"/>
  <c r="E213" i="17" s="1"/>
  <c r="D150" i="17"/>
  <c r="D203" i="17" s="1"/>
  <c r="F203" i="17" s="1"/>
  <c r="C120" i="17"/>
  <c r="I139" i="17"/>
  <c r="D177" i="16"/>
  <c r="D205" i="16" s="1"/>
  <c r="F205" i="16" s="1"/>
  <c r="D152" i="16"/>
  <c r="D212" i="16" s="1"/>
  <c r="E212" i="16" s="1"/>
  <c r="D179" i="16"/>
  <c r="D214" i="16" s="1"/>
  <c r="E214" i="16" s="1"/>
  <c r="D167" i="16"/>
  <c r="D213" i="16" s="1"/>
  <c r="E213" i="16" s="1"/>
  <c r="D165" i="16"/>
  <c r="D204" i="16" s="1"/>
  <c r="F204" i="16" s="1"/>
  <c r="I139" i="16"/>
  <c r="C120" i="16"/>
  <c r="D150" i="16"/>
  <c r="D203" i="16" s="1"/>
  <c r="F203" i="16" s="1"/>
  <c r="C121" i="15"/>
  <c r="D179" i="15"/>
  <c r="D214" i="15" s="1"/>
  <c r="E214" i="15" s="1"/>
  <c r="D167" i="15"/>
  <c r="D213" i="15" s="1"/>
  <c r="E213" i="15" s="1"/>
  <c r="D152" i="15"/>
  <c r="D212" i="15" s="1"/>
  <c r="E212" i="15" s="1"/>
  <c r="D150" i="15"/>
  <c r="D203" i="15" s="1"/>
  <c r="F203" i="15" s="1"/>
  <c r="C120" i="15"/>
  <c r="D177" i="15"/>
  <c r="D205" i="15" s="1"/>
  <c r="F205" i="15" s="1"/>
  <c r="D165" i="15"/>
  <c r="D204" i="15" s="1"/>
  <c r="F204" i="15" s="1"/>
  <c r="I139" i="15"/>
  <c r="D165" i="7"/>
  <c r="D204" i="7" s="1"/>
  <c r="F204" i="7" s="1"/>
  <c r="I139" i="7"/>
  <c r="D177" i="7"/>
  <c r="D205" i="7" s="1"/>
  <c r="F205" i="7" s="1"/>
  <c r="C120" i="7"/>
  <c r="D203" i="7"/>
  <c r="F203" i="7" s="1"/>
  <c r="D179" i="7"/>
  <c r="D214" i="7" s="1"/>
  <c r="E214" i="7" s="1"/>
  <c r="D212" i="7"/>
  <c r="E212" i="7" s="1"/>
  <c r="C121" i="7"/>
  <c r="E106" i="20"/>
  <c r="AD8" i="20"/>
  <c r="Q8" i="20"/>
  <c r="P8" i="20"/>
  <c r="E77" i="20"/>
  <c r="I75" i="20"/>
  <c r="H75" i="20"/>
</calcChain>
</file>

<file path=xl/sharedStrings.xml><?xml version="1.0" encoding="utf-8"?>
<sst xmlns="http://schemas.openxmlformats.org/spreadsheetml/2006/main" count="1908" uniqueCount="241">
  <si>
    <t>-</t>
  </si>
  <si>
    <t>a =</t>
  </si>
  <si>
    <t>(m)</t>
  </si>
  <si>
    <t>Kg/cm2</t>
  </si>
  <si>
    <t>CAPA</t>
  </si>
  <si>
    <t>1. GEOMETRÍA DE LAS LOSAS</t>
  </si>
  <si>
    <t>1.1. Modelo Estructural a Analizar</t>
  </si>
  <si>
    <t>ESPESOR (mm)</t>
  </si>
  <si>
    <t>CORTE</t>
  </si>
  <si>
    <t>Mejoramiento de Subrasante</t>
  </si>
  <si>
    <t>SUBRASANTE (CH)</t>
  </si>
  <si>
    <t>∞</t>
  </si>
  <si>
    <t>1.2. Relación Largo / Ancho</t>
  </si>
  <si>
    <t>1,0 &lt;= (L/A) &lt;= 1,25</t>
  </si>
  <si>
    <t>Ancho máximo de Losa (A)</t>
  </si>
  <si>
    <t>Ancho Calzada (m) =</t>
  </si>
  <si>
    <t>No. Carriles</t>
  </si>
  <si>
    <t>Longitud máxima de Losa (L)</t>
  </si>
  <si>
    <t>Ancho Total (m) =</t>
  </si>
  <si>
    <t>2 @ sentido</t>
  </si>
  <si>
    <t>L =</t>
  </si>
  <si>
    <t>Longitud de Losa Recomendada</t>
  </si>
  <si>
    <t>L / A =</t>
  </si>
  <si>
    <t>1.3. Longitud en Función del Espesor</t>
  </si>
  <si>
    <t>L &lt;= (25 * D)</t>
  </si>
  <si>
    <t>Valores máximos de fricción entre la capa granular de base y la losa</t>
  </si>
  <si>
    <t>1.4. Dimensiones Definitivas de la Losa</t>
  </si>
  <si>
    <t>L (m)</t>
  </si>
  <si>
    <t>A (m)</t>
  </si>
  <si>
    <t>D (m)</t>
  </si>
  <si>
    <t>L (pulg.)</t>
  </si>
  <si>
    <t>A (pulg.)</t>
  </si>
  <si>
    <t>D (pulg.)</t>
  </si>
  <si>
    <t>2. DIMENSIONAMIENTO DE BARRAS DE REFUERZO</t>
  </si>
  <si>
    <t>2.1. Especificación de Barras para Reforzamiento de Losa</t>
  </si>
  <si>
    <t>Límite de Fluencia</t>
  </si>
  <si>
    <t>fy =</t>
  </si>
  <si>
    <t>psi</t>
  </si>
  <si>
    <t>Diámetro</t>
  </si>
  <si>
    <r>
      <t>f</t>
    </r>
    <r>
      <rPr>
        <sz val="8"/>
        <color indexed="8"/>
        <rFont val="Arial"/>
        <family val="2"/>
      </rPr>
      <t xml:space="preserve"> =</t>
    </r>
  </si>
  <si>
    <t>mm</t>
  </si>
  <si>
    <t>pulg</t>
  </si>
  <si>
    <t>Característica de las Barras</t>
  </si>
  <si>
    <t>Corrugadas</t>
  </si>
  <si>
    <t>Situaciones:</t>
  </si>
  <si>
    <t>Losas Atípicas. No cumplen criterio de:</t>
  </si>
  <si>
    <t>Losas que albergan estructuras especiales:</t>
  </si>
  <si>
    <t>Geometría irregular de las losas:</t>
  </si>
  <si>
    <t xml:space="preserve">Formas geométricas no convencionales para losas </t>
  </si>
  <si>
    <t>Sentido Transversal:</t>
  </si>
  <si>
    <t>Longitud</t>
  </si>
  <si>
    <t>l =</t>
  </si>
  <si>
    <t>m</t>
  </si>
  <si>
    <t>Distancia entre centros</t>
  </si>
  <si>
    <t>S =</t>
  </si>
  <si>
    <t>Número de Barras</t>
  </si>
  <si>
    <t>Sentido Longitudinal:</t>
  </si>
  <si>
    <t xml:space="preserve">3. VERIFICACIÓN DEL MODELO ESTRUCTURAL - ESFUERZOS Y DEFLEXIONES - </t>
  </si>
  <si>
    <t>3.1. Esfuerzos por Alabeo</t>
  </si>
  <si>
    <r>
      <rPr>
        <sz val="16"/>
        <rFont val="Symbol"/>
        <family val="1"/>
        <charset val="2"/>
      </rPr>
      <t>s</t>
    </r>
    <r>
      <rPr>
        <sz val="12"/>
        <rFont val="Arial"/>
        <family val="2"/>
      </rPr>
      <t>x = {E</t>
    </r>
    <r>
      <rPr>
        <sz val="12"/>
        <rFont val="Symbol"/>
        <family val="1"/>
        <charset val="2"/>
      </rPr>
      <t>a</t>
    </r>
    <r>
      <rPr>
        <sz val="12"/>
        <rFont val="Arial"/>
        <family val="2"/>
      </rPr>
      <t>t</t>
    </r>
    <r>
      <rPr>
        <sz val="12"/>
        <rFont val="Symbol"/>
        <family val="1"/>
        <charset val="2"/>
      </rPr>
      <t>DT</t>
    </r>
    <r>
      <rPr>
        <sz val="12"/>
        <rFont val="Arial"/>
        <family val="2"/>
      </rPr>
      <t xml:space="preserve"> / (2(1 - </t>
    </r>
    <r>
      <rPr>
        <sz val="12"/>
        <rFont val="Symbol"/>
        <family val="1"/>
        <charset val="2"/>
      </rPr>
      <t>m</t>
    </r>
    <r>
      <rPr>
        <sz val="12"/>
        <rFont val="Arial"/>
        <family val="2"/>
      </rPr>
      <t xml:space="preserve">^2))} * {Cx + </t>
    </r>
    <r>
      <rPr>
        <sz val="12"/>
        <rFont val="Symbol"/>
        <family val="1"/>
        <charset val="2"/>
      </rPr>
      <t xml:space="preserve">m </t>
    </r>
    <r>
      <rPr>
        <sz val="12"/>
        <rFont val="Arial"/>
        <family val="2"/>
      </rPr>
      <t>* Cy}</t>
    </r>
  </si>
  <si>
    <t>Esfuerzo interior máximo por alabeo en la dirección X (Longitud L )</t>
  </si>
  <si>
    <r>
      <rPr>
        <sz val="16"/>
        <color indexed="8"/>
        <rFont val="Symbol"/>
        <family val="1"/>
        <charset val="2"/>
      </rPr>
      <t>s</t>
    </r>
    <r>
      <rPr>
        <sz val="12"/>
        <color indexed="8"/>
        <rFont val="Arial"/>
        <family val="2"/>
      </rPr>
      <t>y = {E</t>
    </r>
    <r>
      <rPr>
        <sz val="12"/>
        <color indexed="8"/>
        <rFont val="Symbol"/>
        <family val="1"/>
        <charset val="2"/>
      </rPr>
      <t>a</t>
    </r>
    <r>
      <rPr>
        <sz val="12"/>
        <color indexed="8"/>
        <rFont val="Arial"/>
        <family val="2"/>
      </rPr>
      <t>t</t>
    </r>
    <r>
      <rPr>
        <sz val="12"/>
        <color indexed="8"/>
        <rFont val="Symbol"/>
        <family val="1"/>
        <charset val="2"/>
      </rPr>
      <t>D</t>
    </r>
    <r>
      <rPr>
        <sz val="12"/>
        <color indexed="8"/>
        <rFont val="Arial"/>
        <family val="2"/>
      </rPr>
      <t xml:space="preserve">T / (2 (1 - </t>
    </r>
    <r>
      <rPr>
        <sz val="12"/>
        <color indexed="8"/>
        <rFont val="Symbol"/>
        <family val="1"/>
        <charset val="2"/>
      </rPr>
      <t>m</t>
    </r>
    <r>
      <rPr>
        <sz val="12"/>
        <color indexed="8"/>
        <rFont val="Arial"/>
        <family val="2"/>
      </rPr>
      <t xml:space="preserve">^2))} * {Cy + </t>
    </r>
    <r>
      <rPr>
        <sz val="12"/>
        <color indexed="8"/>
        <rFont val="Symbol"/>
        <family val="1"/>
        <charset val="2"/>
      </rPr>
      <t xml:space="preserve">m </t>
    </r>
    <r>
      <rPr>
        <sz val="12"/>
        <color indexed="8"/>
        <rFont val="Arial"/>
        <family val="2"/>
      </rPr>
      <t>* Cx}</t>
    </r>
  </si>
  <si>
    <t>Esfuerzo interior máximo por alabeo en la dirección Y (Ancho A)</t>
  </si>
  <si>
    <r>
      <rPr>
        <sz val="16"/>
        <color indexed="8"/>
        <rFont val="Symbol"/>
        <family val="1"/>
        <charset val="2"/>
      </rPr>
      <t>s</t>
    </r>
    <r>
      <rPr>
        <sz val="12"/>
        <color indexed="8"/>
        <rFont val="Arial"/>
        <family val="2"/>
      </rPr>
      <t xml:space="preserve">b= {C * E * </t>
    </r>
    <r>
      <rPr>
        <sz val="12"/>
        <color indexed="8"/>
        <rFont val="Symbol"/>
        <family val="1"/>
        <charset val="2"/>
      </rPr>
      <t>a</t>
    </r>
    <r>
      <rPr>
        <sz val="12"/>
        <color indexed="8"/>
        <rFont val="Arial"/>
        <family val="2"/>
      </rPr>
      <t xml:space="preserve">t * </t>
    </r>
    <r>
      <rPr>
        <sz val="12"/>
        <color indexed="8"/>
        <rFont val="Symbol"/>
        <family val="1"/>
        <charset val="2"/>
      </rPr>
      <t>D</t>
    </r>
    <r>
      <rPr>
        <sz val="12"/>
        <color indexed="8"/>
        <rFont val="Arial"/>
        <family val="2"/>
      </rPr>
      <t>T} / 2</t>
    </r>
  </si>
  <si>
    <t>Esfuerzo en el borde a la mitad de la losa</t>
  </si>
  <si>
    <r>
      <t>Radio de Rigidez Relativa (</t>
    </r>
    <r>
      <rPr>
        <i/>
        <sz val="12"/>
        <color indexed="8"/>
        <rFont val="French Script MT"/>
        <family val="4"/>
      </rPr>
      <t>l</t>
    </r>
    <r>
      <rPr>
        <i/>
        <sz val="8"/>
        <color indexed="8"/>
        <rFont val="Arial"/>
        <family val="2"/>
      </rPr>
      <t>) =</t>
    </r>
  </si>
  <si>
    <r>
      <t>{(E*h^3) / (12*(1-</t>
    </r>
    <r>
      <rPr>
        <sz val="14"/>
        <color indexed="8"/>
        <rFont val="Symbol"/>
        <family val="1"/>
        <charset val="2"/>
      </rPr>
      <t>m</t>
    </r>
    <r>
      <rPr>
        <sz val="12"/>
        <color indexed="8"/>
        <rFont val="Arial"/>
        <family val="2"/>
      </rPr>
      <t>^2)*K)}^(1/4)</t>
    </r>
  </si>
  <si>
    <t>L = Longitud de losa</t>
  </si>
  <si>
    <t>(pulg.)</t>
  </si>
  <si>
    <t>E = Módulo de Elasticidad del Concreto</t>
  </si>
  <si>
    <t>(PSI)</t>
  </si>
  <si>
    <t>D = Espesor de losa</t>
  </si>
  <si>
    <r>
      <rPr>
        <i/>
        <sz val="8"/>
        <color indexed="8"/>
        <rFont val="Symbol"/>
        <family val="1"/>
        <charset val="2"/>
      </rPr>
      <t>m</t>
    </r>
    <r>
      <rPr>
        <i/>
        <sz val="8"/>
        <color indexed="8"/>
        <rFont val="Lucida Handwriting"/>
        <family val="4"/>
      </rPr>
      <t xml:space="preserve"> </t>
    </r>
    <r>
      <rPr>
        <sz val="8"/>
        <color indexed="8"/>
        <rFont val="Arial"/>
        <family val="2"/>
      </rPr>
      <t>= Relación de Poisson del Concreto</t>
    </r>
  </si>
  <si>
    <t>K = Módulo de Reacción de la Subrasante</t>
  </si>
  <si>
    <t>(PCI)</t>
  </si>
  <si>
    <r>
      <rPr>
        <sz val="12"/>
        <color indexed="8"/>
        <rFont val="French Script MT"/>
        <family val="4"/>
      </rPr>
      <t>l</t>
    </r>
    <r>
      <rPr>
        <sz val="8"/>
        <color indexed="8"/>
        <rFont val="Lucida Handwriting"/>
        <family val="4"/>
      </rPr>
      <t xml:space="preserve"> </t>
    </r>
    <r>
      <rPr>
        <sz val="8"/>
        <color indexed="8"/>
        <rFont val="Arial"/>
        <family val="2"/>
      </rPr>
      <t>= Radio de Rigidez Relativa</t>
    </r>
  </si>
  <si>
    <t>Factores de corrección de esfuerzos</t>
  </si>
  <si>
    <r>
      <t xml:space="preserve">Lx / </t>
    </r>
    <r>
      <rPr>
        <sz val="12"/>
        <color indexed="8"/>
        <rFont val="French Script MT"/>
        <family val="4"/>
      </rPr>
      <t>l</t>
    </r>
    <r>
      <rPr>
        <sz val="8"/>
        <color indexed="8"/>
        <rFont val="Lucida Handwriting"/>
        <family val="4"/>
      </rPr>
      <t xml:space="preserve">  </t>
    </r>
    <r>
      <rPr>
        <sz val="8"/>
        <color indexed="8"/>
        <rFont val="Arial"/>
        <family val="2"/>
      </rPr>
      <t>=</t>
    </r>
  </si>
  <si>
    <t>Cx =</t>
  </si>
  <si>
    <r>
      <t xml:space="preserve"> a</t>
    </r>
    <r>
      <rPr>
        <sz val="8"/>
        <color indexed="8"/>
        <rFont val="Arial"/>
        <family val="2"/>
      </rPr>
      <t xml:space="preserve">t </t>
    </r>
    <r>
      <rPr>
        <b/>
        <sz val="8"/>
        <color indexed="8"/>
        <rFont val="Arial"/>
        <family val="2"/>
      </rPr>
      <t>=</t>
    </r>
  </si>
  <si>
    <t>(/ °F)</t>
  </si>
  <si>
    <t>Coeficiente de expansión térmica del concreto</t>
  </si>
  <si>
    <r>
      <t xml:space="preserve">Ly / </t>
    </r>
    <r>
      <rPr>
        <sz val="12"/>
        <color indexed="8"/>
        <rFont val="French Script MT"/>
        <family val="4"/>
      </rPr>
      <t>l</t>
    </r>
    <r>
      <rPr>
        <sz val="8"/>
        <color indexed="8"/>
        <rFont val="Lucida Handwriting"/>
        <family val="4"/>
      </rPr>
      <t xml:space="preserve">  </t>
    </r>
    <r>
      <rPr>
        <sz val="8"/>
        <color indexed="8"/>
        <rFont val="Arial"/>
        <family val="2"/>
      </rPr>
      <t>=</t>
    </r>
  </si>
  <si>
    <t>Cy =</t>
  </si>
  <si>
    <r>
      <t>D</t>
    </r>
    <r>
      <rPr>
        <sz val="7"/>
        <color indexed="8"/>
        <rFont val="Arial"/>
        <family val="2"/>
      </rPr>
      <t>T</t>
    </r>
    <r>
      <rPr>
        <sz val="8"/>
        <color indexed="8"/>
        <rFont val="Arial"/>
        <family val="2"/>
      </rPr>
      <t xml:space="preserve"> =</t>
    </r>
  </si>
  <si>
    <t>(°F/pulg)</t>
  </si>
  <si>
    <t>Gradiente térmico del concreto</t>
  </si>
  <si>
    <r>
      <t>s</t>
    </r>
    <r>
      <rPr>
        <sz val="8"/>
        <color indexed="8"/>
        <rFont val="Arial"/>
        <family val="2"/>
      </rPr>
      <t xml:space="preserve">x = </t>
    </r>
  </si>
  <si>
    <t xml:space="preserve">(PSI) </t>
  </si>
  <si>
    <r>
      <t>s</t>
    </r>
    <r>
      <rPr>
        <sz val="8"/>
        <color indexed="8"/>
        <rFont val="Arial"/>
        <family val="2"/>
      </rPr>
      <t xml:space="preserve">y = </t>
    </r>
  </si>
  <si>
    <r>
      <t>s</t>
    </r>
    <r>
      <rPr>
        <sz val="8"/>
        <color indexed="8"/>
        <rFont val="Arial"/>
        <family val="2"/>
      </rPr>
      <t xml:space="preserve">b = </t>
    </r>
  </si>
  <si>
    <t>3.2. Esfuerzos y Deflexiones por Carga en la Esquina de la Losa</t>
  </si>
  <si>
    <r>
      <rPr>
        <sz val="16"/>
        <color indexed="8"/>
        <rFont val="Symbol"/>
        <family val="1"/>
        <charset val="2"/>
      </rPr>
      <t>s</t>
    </r>
    <r>
      <rPr>
        <sz val="12"/>
        <color indexed="8"/>
        <rFont val="Arial"/>
        <family val="2"/>
      </rPr>
      <t>e = {3*P/h^2} * {1-((a*2^0,5)/</t>
    </r>
    <r>
      <rPr>
        <sz val="12"/>
        <color indexed="8"/>
        <rFont val="French Script MT"/>
        <family val="4"/>
      </rPr>
      <t>l</t>
    </r>
    <r>
      <rPr>
        <sz val="12"/>
        <color indexed="8"/>
        <rFont val="Arial"/>
        <family val="2"/>
      </rPr>
      <t>)^0,6}</t>
    </r>
  </si>
  <si>
    <t>Esfuerzo de tensión superficial en la esquina de la losa</t>
  </si>
  <si>
    <r>
      <rPr>
        <sz val="16"/>
        <color indexed="8"/>
        <rFont val="Symbol"/>
        <family val="1"/>
        <charset val="2"/>
      </rPr>
      <t>D</t>
    </r>
    <r>
      <rPr>
        <sz val="12"/>
        <color indexed="8"/>
        <rFont val="Arial"/>
        <family val="2"/>
      </rPr>
      <t>e = P/K</t>
    </r>
    <r>
      <rPr>
        <sz val="12"/>
        <color indexed="8"/>
        <rFont val="French Script MT"/>
        <family val="4"/>
      </rPr>
      <t>l</t>
    </r>
    <r>
      <rPr>
        <sz val="12"/>
        <color indexed="8"/>
        <rFont val="Arial"/>
        <family val="2"/>
      </rPr>
      <t>^2{1,1-0,88(a*2^0,5)/</t>
    </r>
    <r>
      <rPr>
        <sz val="12"/>
        <color indexed="8"/>
        <rFont val="French Script MT"/>
        <family val="4"/>
      </rPr>
      <t>l</t>
    </r>
    <r>
      <rPr>
        <sz val="12"/>
        <color indexed="8"/>
        <rFont val="Arial"/>
        <family val="2"/>
      </rPr>
      <t>)}</t>
    </r>
  </si>
  <si>
    <t>Deflexión en la esquina de la losa</t>
  </si>
  <si>
    <r>
      <t>2,38*(a</t>
    </r>
    <r>
      <rPr>
        <sz val="10"/>
        <color indexed="8"/>
        <rFont val="French Script MT"/>
        <family val="4"/>
      </rPr>
      <t>l</t>
    </r>
    <r>
      <rPr>
        <sz val="10"/>
        <color indexed="8"/>
        <rFont val="Arial"/>
        <family val="2"/>
      </rPr>
      <t>)^0,5</t>
    </r>
  </si>
  <si>
    <t>Distancia a partir de la esquina de la losa donde ocurre el momento máximo =</t>
  </si>
  <si>
    <t>Pd (lb) =</t>
  </si>
  <si>
    <t>Carga en el semieje (Kg)</t>
  </si>
  <si>
    <r>
      <t>q</t>
    </r>
    <r>
      <rPr>
        <sz val="8"/>
        <color indexed="8"/>
        <rFont val="Arial"/>
        <family val="2"/>
      </rPr>
      <t xml:space="preserve"> (psi) =</t>
    </r>
  </si>
  <si>
    <t>Presión de Contacto</t>
  </si>
  <si>
    <t>Sd (pulg) =</t>
  </si>
  <si>
    <t>Separación entre ejes de llantas</t>
  </si>
  <si>
    <r>
      <t>a = [(0,8521*P</t>
    </r>
    <r>
      <rPr>
        <sz val="7"/>
        <color indexed="8"/>
        <rFont val="Arial"/>
        <family val="2"/>
      </rPr>
      <t>d</t>
    </r>
    <r>
      <rPr>
        <sz val="8"/>
        <color indexed="8"/>
        <rFont val="Arial"/>
        <family val="2"/>
      </rPr>
      <t>/(q*</t>
    </r>
    <r>
      <rPr>
        <sz val="9"/>
        <color indexed="8"/>
        <rFont val="Symbol"/>
        <family val="1"/>
        <charset val="2"/>
      </rPr>
      <t>p)</t>
    </r>
    <r>
      <rPr>
        <sz val="8"/>
        <color indexed="8"/>
        <rFont val="Arial"/>
        <family val="2"/>
      </rPr>
      <t>) + (S</t>
    </r>
    <r>
      <rPr>
        <sz val="7"/>
        <color indexed="8"/>
        <rFont val="Arial"/>
        <family val="2"/>
      </rPr>
      <t>d</t>
    </r>
    <r>
      <rPr>
        <sz val="8"/>
        <color indexed="8"/>
        <rFont val="Arial"/>
        <family val="2"/>
      </rPr>
      <t>/</t>
    </r>
    <r>
      <rPr>
        <sz val="9"/>
        <color indexed="8"/>
        <rFont val="Symbol"/>
        <family val="1"/>
        <charset val="2"/>
      </rPr>
      <t>p</t>
    </r>
    <r>
      <rPr>
        <sz val="8"/>
        <color indexed="8"/>
        <rFont val="Arial"/>
        <family val="2"/>
      </rPr>
      <t>)*(P</t>
    </r>
    <r>
      <rPr>
        <sz val="7"/>
        <color indexed="8"/>
        <rFont val="Arial"/>
        <family val="2"/>
      </rPr>
      <t>d</t>
    </r>
    <r>
      <rPr>
        <sz val="8"/>
        <color indexed="8"/>
        <rFont val="Arial"/>
        <family val="2"/>
      </rPr>
      <t>/(0,5227*q))^0,5]^0,5</t>
    </r>
  </si>
  <si>
    <t>Radio del área circular equivalente para un sistema de llanta doble</t>
  </si>
  <si>
    <r>
      <t>s</t>
    </r>
    <r>
      <rPr>
        <sz val="8"/>
        <color indexed="8"/>
        <rFont val="Arial"/>
        <family val="2"/>
      </rPr>
      <t>e =</t>
    </r>
  </si>
  <si>
    <r>
      <t>D</t>
    </r>
    <r>
      <rPr>
        <sz val="8"/>
        <color indexed="8"/>
        <rFont val="Arial"/>
        <family val="2"/>
      </rPr>
      <t xml:space="preserve">e = </t>
    </r>
  </si>
  <si>
    <t>3.3. Esfuerzos y Deflexiones por Carga en el Interior de la Losa</t>
  </si>
  <si>
    <r>
      <rPr>
        <sz val="16"/>
        <color indexed="8"/>
        <rFont val="Symbol"/>
        <family val="1"/>
        <charset val="2"/>
      </rPr>
      <t>s</t>
    </r>
    <r>
      <rPr>
        <sz val="12"/>
        <color indexed="8"/>
        <rFont val="Arial"/>
        <family val="2"/>
      </rPr>
      <t>i = {0,316*P/h^2} * {4*log(</t>
    </r>
    <r>
      <rPr>
        <sz val="12"/>
        <color indexed="8"/>
        <rFont val="French Script MT"/>
        <family val="4"/>
      </rPr>
      <t>l</t>
    </r>
    <r>
      <rPr>
        <sz val="12"/>
        <color indexed="8"/>
        <rFont val="Arial"/>
        <family val="2"/>
      </rPr>
      <t>/b) + 1,069}</t>
    </r>
  </si>
  <si>
    <t>Esfuerzo en el interior de la losa</t>
  </si>
  <si>
    <r>
      <rPr>
        <sz val="16"/>
        <color indexed="8"/>
        <rFont val="Symbol"/>
        <family val="1"/>
        <charset val="2"/>
      </rPr>
      <t>D</t>
    </r>
    <r>
      <rPr>
        <sz val="11"/>
        <color indexed="8"/>
        <rFont val="Arial"/>
        <family val="2"/>
      </rPr>
      <t>i = {P/8K</t>
    </r>
    <r>
      <rPr>
        <sz val="11"/>
        <color indexed="8"/>
        <rFont val="French Script MT"/>
        <family val="4"/>
      </rPr>
      <t>l</t>
    </r>
    <r>
      <rPr>
        <sz val="11"/>
        <color indexed="8"/>
        <rFont val="Arial"/>
        <family val="2"/>
      </rPr>
      <t>^2} * {1 +(1/2</t>
    </r>
    <r>
      <rPr>
        <sz val="11"/>
        <color indexed="8"/>
        <rFont val="Symbol"/>
        <family val="1"/>
        <charset val="2"/>
      </rPr>
      <t>p</t>
    </r>
    <r>
      <rPr>
        <sz val="11"/>
        <color indexed="8"/>
        <rFont val="Arial"/>
        <family val="2"/>
      </rPr>
      <t>)*(ln(a/2</t>
    </r>
    <r>
      <rPr>
        <sz val="11"/>
        <color indexed="8"/>
        <rFont val="French Script MT"/>
        <family val="4"/>
      </rPr>
      <t>l</t>
    </r>
    <r>
      <rPr>
        <sz val="11"/>
        <color indexed="8"/>
        <rFont val="Arial"/>
        <family val="2"/>
      </rPr>
      <t>)-0,673)(a/</t>
    </r>
    <r>
      <rPr>
        <sz val="11"/>
        <color indexed="8"/>
        <rFont val="French Script MT"/>
        <family val="4"/>
      </rPr>
      <t>l</t>
    </r>
    <r>
      <rPr>
        <sz val="11"/>
        <color indexed="8"/>
        <rFont val="Arial"/>
        <family val="2"/>
      </rPr>
      <t>)^2}</t>
    </r>
  </si>
  <si>
    <t>Deflexión debida a la carga interior</t>
  </si>
  <si>
    <t>(b = a) si: a &gt;=</t>
  </si>
  <si>
    <t>1,724*D =</t>
  </si>
  <si>
    <t>a &lt; 1,724D</t>
  </si>
  <si>
    <t>X</t>
  </si>
  <si>
    <t>b = ((1,6*a^2 + h^2)^0,5) - 0,675*h</t>
  </si>
  <si>
    <r>
      <rPr>
        <sz val="16"/>
        <color indexed="8"/>
        <rFont val="Symbol"/>
        <family val="1"/>
        <charset val="2"/>
      </rPr>
      <t>s</t>
    </r>
    <r>
      <rPr>
        <sz val="8"/>
        <color indexed="8"/>
        <rFont val="Arial"/>
        <family val="2"/>
      </rPr>
      <t>i =</t>
    </r>
  </si>
  <si>
    <r>
      <rPr>
        <sz val="16"/>
        <color indexed="8"/>
        <rFont val="Symbol"/>
        <family val="1"/>
        <charset val="2"/>
      </rPr>
      <t>D</t>
    </r>
    <r>
      <rPr>
        <sz val="8"/>
        <color indexed="8"/>
        <rFont val="Arial"/>
        <family val="2"/>
      </rPr>
      <t xml:space="preserve">i = </t>
    </r>
  </si>
  <si>
    <t>3.4. Esfuerzos y Deflexiones por Carga en el Borde de la Losa</t>
  </si>
  <si>
    <r>
      <rPr>
        <sz val="16"/>
        <color indexed="8"/>
        <rFont val="Symbol"/>
        <family val="1"/>
        <charset val="2"/>
      </rPr>
      <t>s</t>
    </r>
    <r>
      <rPr>
        <sz val="12"/>
        <color indexed="8"/>
        <rFont val="Arial"/>
        <family val="2"/>
      </rPr>
      <t>b = {0,572*P/h^2} * {4*log(</t>
    </r>
    <r>
      <rPr>
        <sz val="12"/>
        <color indexed="8"/>
        <rFont val="French Script MT"/>
        <family val="4"/>
      </rPr>
      <t>l</t>
    </r>
    <r>
      <rPr>
        <sz val="12"/>
        <color indexed="8"/>
        <rFont val="Arial"/>
        <family val="2"/>
      </rPr>
      <t>/a) + 0,359}</t>
    </r>
  </si>
  <si>
    <t>Esfuerzo en el borde de la losa</t>
  </si>
  <si>
    <r>
      <rPr>
        <sz val="16"/>
        <color indexed="8"/>
        <rFont val="Symbol"/>
        <family val="1"/>
        <charset val="2"/>
      </rPr>
      <t>D</t>
    </r>
    <r>
      <rPr>
        <sz val="12"/>
        <color indexed="8"/>
        <rFont val="Arial"/>
        <family val="2"/>
      </rPr>
      <t>b = {0,431*P/K</t>
    </r>
    <r>
      <rPr>
        <sz val="12"/>
        <color indexed="8"/>
        <rFont val="French Script MT"/>
        <family val="4"/>
      </rPr>
      <t>l</t>
    </r>
    <r>
      <rPr>
        <sz val="12"/>
        <color indexed="8"/>
        <rFont val="Arial"/>
        <family val="2"/>
      </rPr>
      <t>^2} * {1 +0,82*(a/</t>
    </r>
    <r>
      <rPr>
        <sz val="12"/>
        <color indexed="8"/>
        <rFont val="French Script MT"/>
        <family val="4"/>
      </rPr>
      <t>l</t>
    </r>
    <r>
      <rPr>
        <sz val="12"/>
        <color indexed="8"/>
        <rFont val="Arial"/>
        <family val="2"/>
      </rPr>
      <t>)}</t>
    </r>
  </si>
  <si>
    <r>
      <rPr>
        <sz val="16"/>
        <color indexed="8"/>
        <rFont val="Symbol"/>
        <family val="1"/>
        <charset val="2"/>
      </rPr>
      <t>s</t>
    </r>
    <r>
      <rPr>
        <sz val="8"/>
        <color indexed="8"/>
        <rFont val="Arial"/>
        <family val="2"/>
      </rPr>
      <t>b =</t>
    </r>
  </si>
  <si>
    <r>
      <rPr>
        <sz val="16"/>
        <color indexed="8"/>
        <rFont val="Symbol"/>
        <family val="1"/>
        <charset val="2"/>
      </rPr>
      <t>D</t>
    </r>
    <r>
      <rPr>
        <sz val="8"/>
        <color indexed="8"/>
        <rFont val="Arial"/>
        <family val="2"/>
      </rPr>
      <t xml:space="preserve">b = </t>
    </r>
  </si>
  <si>
    <t>3.5. Esfuerzos debidos a la Fricción</t>
  </si>
  <si>
    <r>
      <rPr>
        <sz val="16"/>
        <color indexed="8"/>
        <rFont val="Symbol"/>
        <family val="1"/>
        <charset val="2"/>
      </rPr>
      <t>s</t>
    </r>
    <r>
      <rPr>
        <sz val="8"/>
        <color indexed="8"/>
        <rFont val="Arial"/>
        <family val="2"/>
      </rPr>
      <t>c</t>
    </r>
    <r>
      <rPr>
        <sz val="12"/>
        <color indexed="8"/>
        <rFont val="Arial"/>
        <family val="2"/>
      </rPr>
      <t xml:space="preserve"> = </t>
    </r>
    <r>
      <rPr>
        <sz val="16"/>
        <color indexed="8"/>
        <rFont val="Symbol"/>
        <family val="1"/>
        <charset val="2"/>
      </rPr>
      <t>g</t>
    </r>
    <r>
      <rPr>
        <sz val="8"/>
        <color indexed="8"/>
        <rFont val="Arial"/>
        <family val="2"/>
      </rPr>
      <t>c</t>
    </r>
    <r>
      <rPr>
        <sz val="12"/>
        <color indexed="8"/>
        <rFont val="Arial"/>
        <family val="2"/>
      </rPr>
      <t>L</t>
    </r>
    <r>
      <rPr>
        <sz val="12"/>
        <color indexed="8"/>
        <rFont val="Bradley Hand ITC"/>
        <family val="4"/>
      </rPr>
      <t>f</t>
    </r>
    <r>
      <rPr>
        <sz val="8"/>
        <color indexed="8"/>
        <rFont val="Arial"/>
        <family val="2"/>
      </rPr>
      <t>a</t>
    </r>
    <r>
      <rPr>
        <sz val="12"/>
        <color indexed="8"/>
        <rFont val="Arial"/>
        <family val="2"/>
      </rPr>
      <t>/2</t>
    </r>
  </si>
  <si>
    <t>Esfuerzo en el Concreto</t>
  </si>
  <si>
    <r>
      <rPr>
        <sz val="12"/>
        <color indexed="8"/>
        <rFont val="Arial"/>
        <family val="2"/>
      </rPr>
      <t>A</t>
    </r>
    <r>
      <rPr>
        <sz val="8"/>
        <color indexed="8"/>
        <rFont val="Arial"/>
        <family val="2"/>
      </rPr>
      <t>s</t>
    </r>
    <r>
      <rPr>
        <sz val="12"/>
        <color indexed="8"/>
        <rFont val="Arial"/>
        <family val="2"/>
      </rPr>
      <t xml:space="preserve"> = (</t>
    </r>
    <r>
      <rPr>
        <sz val="16"/>
        <color indexed="8"/>
        <rFont val="Symbol"/>
        <family val="1"/>
        <charset val="2"/>
      </rPr>
      <t>g</t>
    </r>
    <r>
      <rPr>
        <sz val="8"/>
        <color indexed="8"/>
        <rFont val="Arial"/>
        <family val="2"/>
      </rPr>
      <t>c</t>
    </r>
    <r>
      <rPr>
        <sz val="12"/>
        <color indexed="8"/>
        <rFont val="Arial"/>
        <family val="2"/>
      </rPr>
      <t>DL</t>
    </r>
    <r>
      <rPr>
        <sz val="12"/>
        <color indexed="8"/>
        <rFont val="Bradley Hand ITC"/>
        <family val="4"/>
      </rPr>
      <t>f</t>
    </r>
    <r>
      <rPr>
        <sz val="8"/>
        <color indexed="8"/>
        <rFont val="Arial"/>
        <family val="2"/>
      </rPr>
      <t xml:space="preserve">a) </t>
    </r>
    <r>
      <rPr>
        <sz val="12"/>
        <color indexed="8"/>
        <rFont val="Arial"/>
        <family val="2"/>
      </rPr>
      <t>/ (2</t>
    </r>
    <r>
      <rPr>
        <sz val="12"/>
        <color indexed="8"/>
        <rFont val="Bradley Hand ITC"/>
        <family val="4"/>
      </rPr>
      <t>f</t>
    </r>
    <r>
      <rPr>
        <sz val="8"/>
        <color indexed="8"/>
        <rFont val="Arial"/>
        <family val="2"/>
      </rPr>
      <t>s</t>
    </r>
    <r>
      <rPr>
        <sz val="12"/>
        <color indexed="8"/>
        <rFont val="Arial"/>
        <family val="2"/>
      </rPr>
      <t>)</t>
    </r>
  </si>
  <si>
    <t>Cuantía de acero</t>
  </si>
  <si>
    <r>
      <rPr>
        <sz val="14"/>
        <color indexed="8"/>
        <rFont val="Arial"/>
        <family val="2"/>
      </rPr>
      <t xml:space="preserve"> </t>
    </r>
    <r>
      <rPr>
        <sz val="16"/>
        <color indexed="8"/>
        <rFont val="Symbol"/>
        <family val="1"/>
        <charset val="2"/>
      </rPr>
      <t>g</t>
    </r>
    <r>
      <rPr>
        <sz val="8"/>
        <color indexed="8"/>
        <rFont val="Arial"/>
        <family val="2"/>
      </rPr>
      <t>c (PCI) =</t>
    </r>
  </si>
  <si>
    <t>Peso Unitario del Concreto</t>
  </si>
  <si>
    <r>
      <t>A</t>
    </r>
    <r>
      <rPr>
        <sz val="8"/>
        <color indexed="8"/>
        <rFont val="Arial"/>
        <family val="2"/>
      </rPr>
      <t>s</t>
    </r>
    <r>
      <rPr>
        <sz val="12"/>
        <color indexed="8"/>
        <rFont val="Arial"/>
        <family val="2"/>
      </rPr>
      <t xml:space="preserve"> =</t>
    </r>
  </si>
  <si>
    <t>pulg^2 / pulg</t>
  </si>
  <si>
    <t>L (pies) =</t>
  </si>
  <si>
    <t>Longitud de la losa</t>
  </si>
  <si>
    <r>
      <rPr>
        <sz val="10"/>
        <color indexed="8"/>
        <rFont val="Bradley Hand ITC"/>
        <family val="4"/>
      </rPr>
      <t>f</t>
    </r>
    <r>
      <rPr>
        <sz val="8"/>
        <color indexed="8"/>
        <rFont val="Arial"/>
        <family val="2"/>
      </rPr>
      <t xml:space="preserve">a = </t>
    </r>
  </si>
  <si>
    <t>Coeficiente de Fricción Losa - Capa de Apoyo</t>
  </si>
  <si>
    <r>
      <rPr>
        <sz val="16"/>
        <color indexed="8"/>
        <rFont val="Symbol"/>
        <family val="1"/>
        <charset val="2"/>
      </rPr>
      <t>s</t>
    </r>
    <r>
      <rPr>
        <sz val="8"/>
        <color indexed="8"/>
        <rFont val="Arial"/>
        <family val="2"/>
      </rPr>
      <t>c =</t>
    </r>
  </si>
  <si>
    <t>3.6. Esfuerzos Admisibles vs. Esfuerzos Actuantes</t>
  </si>
  <si>
    <t>Posición en la Losa</t>
  </si>
  <si>
    <r>
      <t xml:space="preserve">Esfuerzo de Tensión - </t>
    </r>
    <r>
      <rPr>
        <b/>
        <sz val="14"/>
        <color indexed="8"/>
        <rFont val="Symbol"/>
        <family val="1"/>
        <charset val="2"/>
      </rPr>
      <t>s</t>
    </r>
    <r>
      <rPr>
        <b/>
        <sz val="9"/>
        <color indexed="8"/>
        <rFont val="Arial"/>
        <family val="2"/>
      </rPr>
      <t xml:space="preserve"> - Por Alabeo - (PSI)</t>
    </r>
  </si>
  <si>
    <t>Módulo de Rotura del Concreto -MR- (PSI)</t>
  </si>
  <si>
    <r>
      <t>(</t>
    </r>
    <r>
      <rPr>
        <b/>
        <sz val="14"/>
        <color indexed="8"/>
        <rFont val="Symbol"/>
        <family val="1"/>
        <charset val="2"/>
      </rPr>
      <t>s</t>
    </r>
    <r>
      <rPr>
        <b/>
        <sz val="9"/>
        <color indexed="8"/>
        <rFont val="Symbol"/>
        <family val="1"/>
        <charset val="2"/>
      </rPr>
      <t xml:space="preserve"> </t>
    </r>
    <r>
      <rPr>
        <b/>
        <sz val="9"/>
        <color indexed="8"/>
        <rFont val="Arial"/>
        <family val="2"/>
      </rPr>
      <t>/ MR) * 100 (%)</t>
    </r>
  </si>
  <si>
    <t>En la dirección X (L)</t>
  </si>
  <si>
    <t>En la dirección Y (A)</t>
  </si>
  <si>
    <t>En el borde a la mitad en X</t>
  </si>
  <si>
    <t>En el borde a la mitad en Y</t>
  </si>
  <si>
    <r>
      <t xml:space="preserve">Esfuerzo de Tensión - </t>
    </r>
    <r>
      <rPr>
        <b/>
        <sz val="14"/>
        <color indexed="8"/>
        <rFont val="Symbol"/>
        <family val="1"/>
        <charset val="2"/>
      </rPr>
      <t>s</t>
    </r>
    <r>
      <rPr>
        <b/>
        <sz val="9"/>
        <color indexed="8"/>
        <rFont val="Arial"/>
        <family val="2"/>
      </rPr>
      <t xml:space="preserve"> - (PSI)</t>
    </r>
  </si>
  <si>
    <t>Esquina</t>
  </si>
  <si>
    <t>Interior</t>
  </si>
  <si>
    <t>Borde</t>
  </si>
  <si>
    <t>3.7. Deflexiones Actuantes</t>
  </si>
  <si>
    <t>Deflexión (pulg)</t>
  </si>
  <si>
    <t>Deflexión (mm)</t>
  </si>
  <si>
    <t>SI CUMPLE CON 1,0 &lt;= (L/A) &lt;= 1,25</t>
  </si>
  <si>
    <t xml:space="preserve">Pozos de Inspección. Sumideros. Cámaras. </t>
  </si>
  <si>
    <t>Alimentador, Padrón, 6.0 ton eje delantero, 11.0 ton eje trasero
C4, 4 ejes, 14 ton en dos ejes delanteros cada uno de dos llantas y dos (2) ejes tandem de ocho (8) llantas (22000 Kg), Peso Máximo Bruto 36.000 Kg</t>
  </si>
  <si>
    <t>Sub-base Granular SBG-B</t>
  </si>
  <si>
    <t>VERIFICACIÓN DE ESFUERZOS Y DEFLEXIONES ESTACION LA VICTORIA-VIAS E INTERSECCIONES</t>
  </si>
  <si>
    <t>VERIFICACIÓN DE ESFUERZOS Y DEFLEXIONES ESTACION ALTAMIRA CALLE 43 SUR</t>
  </si>
  <si>
    <t>Losa de Concreto MR-4,1MPa</t>
  </si>
  <si>
    <t>N</t>
  </si>
  <si>
    <t>NE= N*CAM</t>
  </si>
  <si>
    <t>E (Mpa)</t>
  </si>
  <si>
    <t>Esf 6 (Mpa)</t>
  </si>
  <si>
    <t>b</t>
  </si>
  <si>
    <t>SN</t>
  </si>
  <si>
    <t>Kr=10^(-u*b*desv)</t>
  </si>
  <si>
    <t>riesgo T-1.37</t>
  </si>
  <si>
    <t>(u) T.B-18</t>
  </si>
  <si>
    <t>desv=(SN^2+(c^2/b^2)*Sh^2)^0.5</t>
  </si>
  <si>
    <t>SH</t>
  </si>
  <si>
    <t>c</t>
  </si>
  <si>
    <t>Kd T.1.30</t>
  </si>
  <si>
    <t>Kc</t>
  </si>
  <si>
    <t>Esf t,adm</t>
  </si>
  <si>
    <t>CL 40 S</t>
  </si>
  <si>
    <t>CL 41 S</t>
  </si>
  <si>
    <t>CRA 3 A E</t>
  </si>
  <si>
    <t>CRA 3 C E</t>
  </si>
  <si>
    <t>TRANSITO</t>
  </si>
  <si>
    <t>CALLE 40 SUR</t>
  </si>
  <si>
    <t>CALLE 41 SUR</t>
  </si>
  <si>
    <t>CARRERA 3A ESTE</t>
  </si>
  <si>
    <t>CARRERA 3C ESTE</t>
  </si>
  <si>
    <t>Rango de Carga</t>
  </si>
  <si>
    <t>(kN)</t>
  </si>
  <si>
    <t>10-30</t>
  </si>
  <si>
    <t>30-40</t>
  </si>
  <si>
    <t>40-50</t>
  </si>
  <si>
    <t>50-60</t>
  </si>
  <si>
    <t>60-70</t>
  </si>
  <si>
    <t>70-80</t>
  </si>
  <si>
    <t>80-90</t>
  </si>
  <si>
    <t>90-100</t>
  </si>
  <si>
    <t>100-110</t>
  </si>
  <si>
    <t>110-120</t>
  </si>
  <si>
    <t>120-130</t>
  </si>
  <si>
    <t>130-140</t>
  </si>
  <si>
    <t>140-150</t>
  </si>
  <si>
    <t>150-160</t>
  </si>
  <si>
    <t>160-170</t>
  </si>
  <si>
    <t>170-180</t>
  </si>
  <si>
    <t>180-190</t>
  </si>
  <si>
    <t>190-200</t>
  </si>
  <si>
    <t>200-210</t>
  </si>
  <si>
    <t>Centro de Rango</t>
  </si>
  <si>
    <t>Agresividad Centro de Rango</t>
  </si>
  <si>
    <t>Alfa:12  k:1   A=K(P/Po)^12</t>
  </si>
  <si>
    <t>210-220</t>
  </si>
  <si>
    <t>EJES SIMPLES</t>
  </si>
  <si>
    <t>N1</t>
  </si>
  <si>
    <t>A*N1</t>
  </si>
  <si>
    <t>EJES TANDEM</t>
  </si>
  <si>
    <t>Alfa:12  k:12   A=K(P/Po)^12</t>
  </si>
  <si>
    <t>N2</t>
  </si>
  <si>
    <t>A*N2</t>
  </si>
  <si>
    <t>CAM=</t>
  </si>
  <si>
    <t>CALLE 43 SUR</t>
  </si>
  <si>
    <t>CALLE 43 A SUR</t>
  </si>
  <si>
    <t>CARRERA 12 A ESTE</t>
  </si>
  <si>
    <t>CARRERA 12 B ESTE</t>
  </si>
  <si>
    <t>CALLE 43A SUR</t>
  </si>
  <si>
    <t xml:space="preserve">VERIFICACIÓN DE ESFUERZOS Y DEFLEXIONES ESTACION ALTAMIRA CALLE 43  Sur </t>
  </si>
  <si>
    <t>VERIFICACIÓN DE ESFUERZOS Y DEFLEXIONES ESTACION ALTAMIRA CARRERA 12A ESTE</t>
  </si>
  <si>
    <t>VERIFICACIÓN DE ESFUERZOS Y DEFLEXIONES ESTACION ALTAMIRA CARRERA 12BESTE</t>
  </si>
  <si>
    <t>CL 43 S</t>
  </si>
  <si>
    <t>CL 43A S</t>
  </si>
  <si>
    <t>CRA 12AE</t>
  </si>
  <si>
    <t>CRA 12BE</t>
  </si>
  <si>
    <t>CRA 12 A ESTE</t>
  </si>
  <si>
    <t>Esf t,adm Mpa</t>
  </si>
  <si>
    <t>CRA 12 B ESTE</t>
  </si>
  <si>
    <t>CAM  CALC</t>
  </si>
  <si>
    <t>CRA 3AESTE</t>
  </si>
  <si>
    <t>CAM</t>
  </si>
  <si>
    <t>NESE (Flexible) 130 kN</t>
  </si>
  <si>
    <t>CRA 3BESTE</t>
  </si>
  <si>
    <t>NESE (Flexible) 130 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</si>
</sst>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"/>
    <numFmt numFmtId="165" formatCode="0.00000"/>
    <numFmt numFmtId="166" formatCode="0.000"/>
    <numFmt numFmtId="167" formatCode="#,##0.0"/>
    <numFmt numFmtId="168" formatCode="0.E+00"/>
    <numFmt numFmtId="169" formatCode="_-* #,##0.0_-;\-* #,##0.0_-;_-* &quot;-&quot;??_-;_-@_-"/>
    <numFmt numFmtId="170" formatCode="_-* #,##0.0000_-;\-* #,##0.0000_-;_-* &quot;-&quot;??_-;_-@_-"/>
    <numFmt numFmtId="175" formatCode="_-* #,##0.000000000_-;\-* #,##0.000000000_-;_-* &quot;-&quot;??_-;_-@_-"/>
    <numFmt numFmtId="179" formatCode="_-* #,##0.000000000000_-;\-* #,##0.000000000000_-;_-* &quot;-&quot;??_-;_-@_-"/>
  </numFmts>
  <fonts count="5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i/>
      <sz val="8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Symbol"/>
      <family val="1"/>
      <charset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i/>
      <sz val="9"/>
      <color indexed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French Script MT"/>
      <family val="4"/>
    </font>
    <font>
      <sz val="8"/>
      <color indexed="53"/>
      <name val="Arial"/>
      <family val="2"/>
    </font>
    <font>
      <i/>
      <sz val="8"/>
      <color indexed="10"/>
      <name val="Arial"/>
      <family val="2"/>
    </font>
    <font>
      <b/>
      <sz val="8"/>
      <color indexed="53"/>
      <name val="Arial"/>
      <family val="2"/>
    </font>
    <font>
      <i/>
      <sz val="8"/>
      <color indexed="8"/>
      <name val="Symbol"/>
      <family val="1"/>
      <charset val="2"/>
    </font>
    <font>
      <sz val="8"/>
      <color indexed="8"/>
      <name val="Symbol"/>
      <family val="1"/>
      <charset val="2"/>
    </font>
    <font>
      <sz val="8"/>
      <color indexed="52"/>
      <name val="Arial"/>
      <family val="2"/>
    </font>
    <font>
      <sz val="12"/>
      <name val="Symbol"/>
      <family val="1"/>
      <charset val="2"/>
    </font>
    <font>
      <sz val="14"/>
      <color indexed="8"/>
      <name val="Symbol"/>
      <family val="1"/>
      <charset val="2"/>
    </font>
    <font>
      <sz val="7"/>
      <color indexed="8"/>
      <name val="Arial"/>
      <family val="2"/>
    </font>
    <font>
      <sz val="12"/>
      <color indexed="8"/>
      <name val="Symbol"/>
      <family val="1"/>
      <charset val="2"/>
    </font>
    <font>
      <sz val="12"/>
      <color indexed="8"/>
      <name val="Arial"/>
      <family val="2"/>
    </font>
    <font>
      <i/>
      <sz val="12"/>
      <color indexed="8"/>
      <name val="French Script MT"/>
      <family val="4"/>
    </font>
    <font>
      <sz val="8"/>
      <color indexed="61"/>
      <name val="Arial"/>
      <family val="2"/>
    </font>
    <font>
      <i/>
      <sz val="8"/>
      <color indexed="8"/>
      <name val="Lucida Handwriting"/>
      <family val="4"/>
    </font>
    <font>
      <sz val="8"/>
      <color indexed="8"/>
      <name val="Lucida Handwriting"/>
      <family val="4"/>
    </font>
    <font>
      <b/>
      <sz val="8"/>
      <color indexed="61"/>
      <name val="Arial"/>
      <family val="2"/>
    </font>
    <font>
      <sz val="10"/>
      <color indexed="8"/>
      <name val="French Script MT"/>
      <family val="4"/>
    </font>
    <font>
      <sz val="10"/>
      <color indexed="8"/>
      <name val="Bradley Hand ITC"/>
      <family val="4"/>
    </font>
    <font>
      <sz val="14"/>
      <color indexed="8"/>
      <name val="Arial"/>
      <family val="2"/>
    </font>
    <font>
      <sz val="16"/>
      <name val="Symbol"/>
      <family val="1"/>
      <charset val="2"/>
    </font>
    <font>
      <sz val="11"/>
      <color indexed="8"/>
      <name val="Symbol"/>
      <family val="1"/>
      <charset val="2"/>
    </font>
    <font>
      <sz val="11"/>
      <color indexed="8"/>
      <name val="French Script MT"/>
      <family val="4"/>
    </font>
    <font>
      <sz val="12"/>
      <color indexed="8"/>
      <name val="Bradley Hand ITC"/>
      <family val="4"/>
    </font>
    <font>
      <sz val="16"/>
      <color indexed="8"/>
      <name val="Symbol"/>
      <family val="1"/>
      <charset val="2"/>
    </font>
    <font>
      <b/>
      <i/>
      <sz val="10"/>
      <color indexed="8"/>
      <name val="Arial"/>
      <family val="2"/>
    </font>
    <font>
      <b/>
      <sz val="14"/>
      <color indexed="8"/>
      <name val="Symbol"/>
      <family val="1"/>
      <charset val="2"/>
    </font>
    <font>
      <b/>
      <sz val="9"/>
      <color indexed="8"/>
      <name val="Symbol"/>
      <family val="1"/>
      <charset val="2"/>
    </font>
    <font>
      <b/>
      <sz val="8"/>
      <color indexed="52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lightGray">
        <bgColor rgb="FFFFC000"/>
      </patternFill>
    </fill>
    <fill>
      <patternFill patternType="lightGray">
        <bgColor theme="9" tint="0.39997558519241921"/>
      </patternFill>
    </fill>
    <fill>
      <patternFill patternType="lightDown">
        <bgColor theme="0" tint="-0.249977111117893"/>
      </patternFill>
    </fill>
    <fill>
      <patternFill patternType="gray0625"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50" fillId="0" borderId="0" applyFont="0" applyFill="0" applyBorder="0" applyAlignment="0" applyProtection="0"/>
  </cellStyleXfs>
  <cellXfs count="395">
    <xf numFmtId="0" fontId="0" fillId="0" borderId="0" xfId="0"/>
    <xf numFmtId="0" fontId="0" fillId="0" borderId="4" xfId="0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3" fillId="0" borderId="4" xfId="0" applyFont="1" applyBorder="1"/>
    <xf numFmtId="0" fontId="13" fillId="0" borderId="0" xfId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2" xfId="1" applyFont="1" applyBorder="1"/>
    <xf numFmtId="0" fontId="13" fillId="0" borderId="2" xfId="1" applyFont="1" applyBorder="1"/>
    <xf numFmtId="4" fontId="9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4" xfId="0" applyFont="1" applyBorder="1"/>
    <xf numFmtId="0" fontId="18" fillId="0" borderId="0" xfId="0" applyFont="1" applyAlignment="1">
      <alignment vertical="center" wrapText="1"/>
    </xf>
    <xf numFmtId="0" fontId="19" fillId="0" borderId="2" xfId="0" applyFont="1" applyBorder="1"/>
    <xf numFmtId="0" fontId="3" fillId="0" borderId="2" xfId="0" applyFont="1" applyBorder="1"/>
    <xf numFmtId="0" fontId="19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9" fillId="0" borderId="1" xfId="1" applyNumberFormat="1" applyFont="1" applyBorder="1" applyAlignment="1">
      <alignment horizontal="center" vertical="center"/>
    </xf>
    <xf numFmtId="0" fontId="22" fillId="0" borderId="0" xfId="0" applyFont="1"/>
    <xf numFmtId="0" fontId="5" fillId="0" borderId="2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9" fillId="0" borderId="2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4" fillId="0" borderId="2" xfId="0" applyFont="1" applyBorder="1"/>
    <xf numFmtId="0" fontId="34" fillId="0" borderId="0" xfId="0" applyFont="1" applyAlignment="1">
      <alignment horizontal="center"/>
    </xf>
    <xf numFmtId="0" fontId="3" fillId="0" borderId="2" xfId="0" applyFont="1" applyBorder="1" applyAlignment="1">
      <alignment vertical="center"/>
    </xf>
    <xf numFmtId="2" fontId="3" fillId="0" borderId="0" xfId="0" applyNumberFormat="1" applyFont="1"/>
    <xf numFmtId="2" fontId="3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28" fillId="0" borderId="1" xfId="0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17" fillId="0" borderId="2" xfId="0" applyFont="1" applyBorder="1"/>
    <xf numFmtId="0" fontId="17" fillId="0" borderId="0" xfId="0" applyFont="1"/>
    <xf numFmtId="0" fontId="17" fillId="0" borderId="4" xfId="0" applyFont="1" applyBorder="1"/>
    <xf numFmtId="0" fontId="30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/>
    </xf>
    <xf numFmtId="2" fontId="36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6" fontId="36" fillId="0" borderId="14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0" borderId="2" xfId="0" applyFont="1" applyBorder="1"/>
    <xf numFmtId="1" fontId="9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2" fontId="26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horizontal="left"/>
    </xf>
    <xf numFmtId="0" fontId="13" fillId="0" borderId="0" xfId="1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" fontId="21" fillId="0" borderId="0" xfId="0" applyNumberFormat="1" applyFont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/>
    <xf numFmtId="0" fontId="3" fillId="0" borderId="5" xfId="0" applyFont="1" applyBorder="1" applyAlignment="1">
      <alignment horizontal="center"/>
    </xf>
    <xf numFmtId="166" fontId="36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19" fillId="0" borderId="8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/>
    <xf numFmtId="0" fontId="13" fillId="0" borderId="1" xfId="0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49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2" fontId="21" fillId="0" borderId="1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1" fontId="26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48" fillId="0" borderId="1" xfId="0" applyNumberFormat="1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28" fillId="0" borderId="0" xfId="0" applyFont="1" applyAlignment="1">
      <alignment horizontal="center"/>
    </xf>
    <xf numFmtId="2" fontId="36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2" fontId="33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164" fontId="33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3" fillId="0" borderId="6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1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right"/>
    </xf>
    <xf numFmtId="2" fontId="21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 vertical="center"/>
    </xf>
    <xf numFmtId="0" fontId="9" fillId="0" borderId="0" xfId="0" applyFont="1" applyBorder="1"/>
    <xf numFmtId="2" fontId="21" fillId="0" borderId="1" xfId="0" applyNumberFormat="1" applyFont="1" applyBorder="1" applyAlignment="1">
      <alignment horizontal="center" vertical="center" wrapText="1"/>
    </xf>
    <xf numFmtId="0" fontId="52" fillId="0" borderId="1" xfId="0" applyFont="1" applyBorder="1" applyAlignment="1">
      <alignment vertical="center"/>
    </xf>
    <xf numFmtId="0" fontId="52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165" fontId="53" fillId="0" borderId="1" xfId="0" applyNumberFormat="1" applyFont="1" applyBorder="1" applyAlignment="1">
      <alignment horizontal="center" vertical="center"/>
    </xf>
    <xf numFmtId="9" fontId="53" fillId="0" borderId="1" xfId="0" applyNumberFormat="1" applyFont="1" applyBorder="1" applyAlignment="1">
      <alignment horizontal="center" vertical="center"/>
    </xf>
    <xf numFmtId="0" fontId="52" fillId="6" borderId="1" xfId="0" applyFont="1" applyFill="1" applyBorder="1" applyAlignment="1">
      <alignment horizontal="center" vertical="center"/>
    </xf>
    <xf numFmtId="0" fontId="53" fillId="6" borderId="1" xfId="0" applyFont="1" applyFill="1" applyBorder="1" applyAlignment="1">
      <alignment horizontal="center" vertical="center"/>
    </xf>
    <xf numFmtId="165" fontId="53" fillId="6" borderId="1" xfId="0" applyNumberFormat="1" applyFont="1" applyFill="1" applyBorder="1" applyAlignment="1">
      <alignment horizontal="center" vertical="center"/>
    </xf>
    <xf numFmtId="9" fontId="53" fillId="6" borderId="1" xfId="0" applyNumberFormat="1" applyFont="1" applyFill="1" applyBorder="1" applyAlignment="1">
      <alignment horizontal="center" vertical="center"/>
    </xf>
    <xf numFmtId="0" fontId="52" fillId="6" borderId="1" xfId="0" applyFont="1" applyFill="1" applyBorder="1" applyAlignment="1">
      <alignment horizontal="center"/>
    </xf>
    <xf numFmtId="0" fontId="53" fillId="6" borderId="1" xfId="0" applyFont="1" applyFill="1" applyBorder="1" applyAlignment="1">
      <alignment horizontal="center"/>
    </xf>
    <xf numFmtId="0" fontId="52" fillId="7" borderId="1" xfId="0" applyFont="1" applyFill="1" applyBorder="1" applyAlignment="1">
      <alignment horizontal="center" vertical="center"/>
    </xf>
    <xf numFmtId="0" fontId="53" fillId="7" borderId="1" xfId="0" applyFont="1" applyFill="1" applyBorder="1" applyAlignment="1">
      <alignment horizontal="center" vertical="center"/>
    </xf>
    <xf numFmtId="165" fontId="53" fillId="7" borderId="1" xfId="0" applyNumberFormat="1" applyFont="1" applyFill="1" applyBorder="1" applyAlignment="1">
      <alignment horizontal="center" vertical="center"/>
    </xf>
    <xf numFmtId="9" fontId="53" fillId="7" borderId="1" xfId="0" applyNumberFormat="1" applyFont="1" applyFill="1" applyBorder="1" applyAlignment="1">
      <alignment horizontal="center" vertical="center"/>
    </xf>
    <xf numFmtId="0" fontId="52" fillId="8" borderId="1" xfId="0" applyFont="1" applyFill="1" applyBorder="1" applyAlignment="1">
      <alignment horizontal="center" vertical="center"/>
    </xf>
    <xf numFmtId="0" fontId="53" fillId="8" borderId="1" xfId="0" applyFont="1" applyFill="1" applyBorder="1" applyAlignment="1">
      <alignment horizontal="center" vertical="center"/>
    </xf>
    <xf numFmtId="165" fontId="53" fillId="8" borderId="1" xfId="0" applyNumberFormat="1" applyFont="1" applyFill="1" applyBorder="1" applyAlignment="1">
      <alignment horizontal="center" vertical="center"/>
    </xf>
    <xf numFmtId="9" fontId="53" fillId="8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9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170" fontId="0" fillId="0" borderId="0" xfId="0" applyNumberFormat="1" applyAlignment="1">
      <alignment horizontal="center" vertical="center"/>
    </xf>
    <xf numFmtId="0" fontId="5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1" fillId="10" borderId="0" xfId="0" applyFont="1" applyFill="1"/>
    <xf numFmtId="0" fontId="0" fillId="0" borderId="0" xfId="0" applyBorder="1"/>
    <xf numFmtId="0" fontId="0" fillId="10" borderId="0" xfId="0" applyFill="1"/>
    <xf numFmtId="3" fontId="53" fillId="0" borderId="1" xfId="0" applyNumberFormat="1" applyFont="1" applyBorder="1" applyAlignment="1">
      <alignment horizontal="center" vertical="center"/>
    </xf>
    <xf numFmtId="3" fontId="53" fillId="6" borderId="1" xfId="0" applyNumberFormat="1" applyFont="1" applyFill="1" applyBorder="1" applyAlignment="1">
      <alignment horizontal="center" vertical="center"/>
    </xf>
    <xf numFmtId="3" fontId="53" fillId="7" borderId="1" xfId="0" applyNumberFormat="1" applyFont="1" applyFill="1" applyBorder="1" applyAlignment="1">
      <alignment horizontal="center" vertical="center"/>
    </xf>
    <xf numFmtId="3" fontId="53" fillId="8" borderId="1" xfId="0" applyNumberFormat="1" applyFont="1" applyFill="1" applyBorder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169" fontId="51" fillId="0" borderId="0" xfId="3" applyNumberFormat="1" applyFont="1" applyBorder="1" applyAlignment="1">
      <alignment horizontal="left" vertical="center"/>
    </xf>
    <xf numFmtId="169" fontId="51" fillId="0" borderId="0" xfId="3" applyNumberFormat="1" applyFont="1" applyFill="1" applyBorder="1" applyAlignment="1">
      <alignment horizontal="left" vertic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Border="1"/>
    <xf numFmtId="169" fontId="0" fillId="0" borderId="0" xfId="0" applyNumberFormat="1" applyBorder="1"/>
    <xf numFmtId="16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51" fillId="9" borderId="0" xfId="0" applyFont="1" applyFill="1" applyAlignment="1">
      <alignment vertical="center"/>
    </xf>
    <xf numFmtId="0" fontId="51" fillId="7" borderId="0" xfId="0" applyFont="1" applyFill="1" applyAlignment="1">
      <alignment vertical="center"/>
    </xf>
    <xf numFmtId="0" fontId="51" fillId="0" borderId="2" xfId="0" applyFont="1" applyBorder="1" applyAlignment="1">
      <alignment vertical="center"/>
    </xf>
    <xf numFmtId="169" fontId="51" fillId="0" borderId="0" xfId="3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3" fontId="0" fillId="0" borderId="0" xfId="0" applyNumberFormat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" fontId="0" fillId="0" borderId="0" xfId="0" applyNumberForma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/>
    </xf>
    <xf numFmtId="11" fontId="53" fillId="7" borderId="1" xfId="0" applyNumberFormat="1" applyFont="1" applyFill="1" applyBorder="1" applyAlignment="1">
      <alignment horizontal="center" vertical="center"/>
    </xf>
    <xf numFmtId="11" fontId="53" fillId="8" borderId="1" xfId="0" applyNumberFormat="1" applyFont="1" applyFill="1" applyBorder="1" applyAlignment="1">
      <alignment horizontal="center" vertical="center"/>
    </xf>
    <xf numFmtId="11" fontId="53" fillId="0" borderId="1" xfId="0" applyNumberFormat="1" applyFont="1" applyBorder="1" applyAlignment="1">
      <alignment horizontal="center" vertical="center"/>
    </xf>
    <xf numFmtId="11" fontId="53" fillId="6" borderId="1" xfId="0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0" fillId="0" borderId="14" xfId="0" applyFont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1" fillId="9" borderId="0" xfId="0" applyFont="1" applyFill="1" applyAlignment="1">
      <alignment horizontal="center" vertical="center"/>
    </xf>
    <xf numFmtId="0" fontId="51" fillId="0" borderId="0" xfId="0" applyFont="1" applyAlignment="1">
      <alignment horizontal="center"/>
    </xf>
    <xf numFmtId="3" fontId="51" fillId="0" borderId="0" xfId="0" applyNumberFormat="1" applyFont="1" applyAlignment="1">
      <alignment horizontal="center"/>
    </xf>
    <xf numFmtId="3" fontId="51" fillId="0" borderId="0" xfId="0" applyNumberFormat="1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170" fontId="0" fillId="0" borderId="0" xfId="0" applyNumberFormat="1" applyAlignment="1">
      <alignment vertical="center"/>
    </xf>
    <xf numFmtId="175" fontId="0" fillId="0" borderId="0" xfId="0" applyNumberFormat="1" applyAlignment="1">
      <alignment horizontal="center"/>
    </xf>
    <xf numFmtId="179" fontId="0" fillId="0" borderId="0" xfId="0" applyNumberFormat="1" applyAlignment="1">
      <alignment horizontal="center"/>
    </xf>
    <xf numFmtId="0" fontId="51" fillId="0" borderId="6" xfId="0" applyFont="1" applyBorder="1" applyAlignment="1">
      <alignment horizontal="center"/>
    </xf>
    <xf numFmtId="179" fontId="53" fillId="6" borderId="1" xfId="0" applyNumberFormat="1" applyFont="1" applyFill="1" applyBorder="1" applyAlignment="1">
      <alignment horizontal="center" vertical="center"/>
    </xf>
    <xf numFmtId="170" fontId="53" fillId="0" borderId="1" xfId="0" applyNumberFormat="1" applyFont="1" applyBorder="1" applyAlignment="1">
      <alignment horizontal="center" vertical="center"/>
    </xf>
    <xf numFmtId="43" fontId="53" fillId="0" borderId="1" xfId="0" applyNumberFormat="1" applyFont="1" applyBorder="1" applyAlignment="1">
      <alignment horizontal="center" vertical="center"/>
    </xf>
    <xf numFmtId="164" fontId="52" fillId="8" borderId="1" xfId="0" applyNumberFormat="1" applyFont="1" applyFill="1" applyBorder="1" applyAlignment="1">
      <alignment horizontal="center" vertical="center"/>
    </xf>
    <xf numFmtId="2" fontId="53" fillId="0" borderId="1" xfId="0" applyNumberFormat="1" applyFont="1" applyBorder="1" applyAlignment="1">
      <alignment horizontal="center" vertical="center"/>
    </xf>
    <xf numFmtId="2" fontId="53" fillId="6" borderId="1" xfId="0" applyNumberFormat="1" applyFont="1" applyFill="1" applyBorder="1" applyAlignment="1">
      <alignment horizontal="center" vertical="center"/>
    </xf>
    <xf numFmtId="2" fontId="53" fillId="6" borderId="1" xfId="0" applyNumberFormat="1" applyFont="1" applyFill="1" applyBorder="1" applyAlignment="1">
      <alignment horizontal="center"/>
    </xf>
    <xf numFmtId="2" fontId="53" fillId="7" borderId="1" xfId="0" applyNumberFormat="1" applyFont="1" applyFill="1" applyBorder="1" applyAlignment="1">
      <alignment horizontal="center" vertical="center"/>
    </xf>
    <xf numFmtId="2" fontId="53" fillId="8" borderId="1" xfId="0" applyNumberFormat="1" applyFont="1" applyFill="1" applyBorder="1" applyAlignment="1">
      <alignment horizontal="center" vertical="center"/>
    </xf>
    <xf numFmtId="2" fontId="52" fillId="0" borderId="1" xfId="0" applyNumberFormat="1" applyFont="1" applyBorder="1" applyAlignment="1">
      <alignment horizontal="center" vertical="center"/>
    </xf>
    <xf numFmtId="2" fontId="52" fillId="6" borderId="1" xfId="0" applyNumberFormat="1" applyFont="1" applyFill="1" applyBorder="1" applyAlignment="1">
      <alignment horizontal="center" vertical="center"/>
    </xf>
    <xf numFmtId="2" fontId="52" fillId="7" borderId="1" xfId="0" applyNumberFormat="1" applyFont="1" applyFill="1" applyBorder="1" applyAlignment="1">
      <alignment horizontal="center" vertical="center"/>
    </xf>
    <xf numFmtId="2" fontId="52" fillId="8" borderId="1" xfId="0" applyNumberFormat="1" applyFont="1" applyFill="1" applyBorder="1" applyAlignment="1">
      <alignment horizontal="center" vertical="center"/>
    </xf>
    <xf numFmtId="164" fontId="52" fillId="0" borderId="1" xfId="0" applyNumberFormat="1" applyFont="1" applyBorder="1" applyAlignment="1">
      <alignment horizontal="center" vertical="center"/>
    </xf>
    <xf numFmtId="164" fontId="52" fillId="6" borderId="1" xfId="0" applyNumberFormat="1" applyFont="1" applyFill="1" applyBorder="1" applyAlignment="1">
      <alignment horizontal="center" vertical="center"/>
    </xf>
    <xf numFmtId="164" fontId="52" fillId="7" borderId="1" xfId="0" applyNumberFormat="1" applyFont="1" applyFill="1" applyBorder="1" applyAlignment="1">
      <alignment horizontal="center" vertical="center"/>
    </xf>
    <xf numFmtId="167" fontId="53" fillId="0" borderId="1" xfId="0" applyNumberFormat="1" applyFont="1" applyBorder="1" applyAlignment="1">
      <alignment horizontal="center" vertical="center"/>
    </xf>
    <xf numFmtId="167" fontId="53" fillId="6" borderId="1" xfId="0" applyNumberFormat="1" applyFont="1" applyFill="1" applyBorder="1" applyAlignment="1">
      <alignment horizontal="center" vertical="center"/>
    </xf>
    <xf numFmtId="167" fontId="53" fillId="6" borderId="1" xfId="0" applyNumberFormat="1" applyFont="1" applyFill="1" applyBorder="1" applyAlignment="1">
      <alignment horizontal="center"/>
    </xf>
    <xf numFmtId="167" fontId="53" fillId="7" borderId="1" xfId="0" applyNumberFormat="1" applyFont="1" applyFill="1" applyBorder="1" applyAlignment="1">
      <alignment horizontal="center" vertical="center"/>
    </xf>
    <xf numFmtId="167" fontId="53" fillId="8" borderId="1" xfId="0" applyNumberFormat="1" applyFont="1" applyFill="1" applyBorder="1" applyAlignment="1">
      <alignment horizontal="center" vertical="center"/>
    </xf>
    <xf numFmtId="164" fontId="52" fillId="6" borderId="1" xfId="0" applyNumberFormat="1" applyFont="1" applyFill="1" applyBorder="1" applyAlignment="1">
      <alignment horizontal="center"/>
    </xf>
  </cellXfs>
  <cellStyles count="4">
    <cellStyle name="Millares" xfId="3" builtinId="3"/>
    <cellStyle name="Normal" xfId="0" builtinId="0"/>
    <cellStyle name="Normal 2" xfId="1" xr:uid="{00000000-0005-0000-0000-000002000000}"/>
    <cellStyle name="Porcentual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L220"/>
  <sheetViews>
    <sheetView showGridLines="0" zoomScaleNormal="100" workbookViewId="0">
      <selection activeCell="F11" sqref="F11"/>
    </sheetView>
  </sheetViews>
  <sheetFormatPr baseColWidth="10" defaultColWidth="8.85546875" defaultRowHeight="15" x14ac:dyDescent="0.25"/>
  <cols>
    <col min="1" max="1" width="17.28515625" customWidth="1"/>
    <col min="2" max="3" width="11.42578125" customWidth="1"/>
    <col min="4" max="4" width="13.5703125" customWidth="1"/>
    <col min="5" max="10" width="11.42578125" customWidth="1"/>
    <col min="11" max="11" width="9.7109375" customWidth="1"/>
    <col min="12" max="256" width="11.42578125" customWidth="1"/>
  </cols>
  <sheetData>
    <row r="1" spans="1:11" s="2" customFormat="1" ht="15" customHeight="1" x14ac:dyDescent="0.2">
      <c r="A1" s="306" t="s">
        <v>160</v>
      </c>
      <c r="B1" s="307"/>
      <c r="C1" s="307"/>
      <c r="D1" s="307"/>
      <c r="E1" s="307"/>
      <c r="F1" s="307"/>
      <c r="G1" s="307"/>
      <c r="H1" s="307"/>
      <c r="I1" s="307"/>
      <c r="J1" s="307"/>
      <c r="K1" s="308"/>
    </row>
    <row r="2" spans="1:11" s="2" customFormat="1" ht="11.25" customHeight="1" x14ac:dyDescent="0.2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7"/>
    </row>
    <row r="3" spans="1:11" s="3" customFormat="1" ht="11.25" customHeight="1" x14ac:dyDescent="0.2">
      <c r="A3" s="28" t="s">
        <v>5</v>
      </c>
      <c r="K3" s="6"/>
    </row>
    <row r="4" spans="1:11" s="3" customFormat="1" ht="11.25" customHeight="1" x14ac:dyDescent="0.2">
      <c r="A4" s="28"/>
      <c r="K4" s="6"/>
    </row>
    <row r="5" spans="1:11" s="3" customFormat="1" ht="11.25" customHeight="1" x14ac:dyDescent="0.2">
      <c r="A5" s="28"/>
      <c r="K5" s="6"/>
    </row>
    <row r="6" spans="1:11" s="2" customFormat="1" ht="11.25" customHeight="1" x14ac:dyDescent="0.2">
      <c r="A6" s="9" t="s">
        <v>6</v>
      </c>
      <c r="B6" s="18"/>
      <c r="C6" s="18"/>
      <c r="D6" s="11"/>
      <c r="E6" s="12"/>
      <c r="F6" s="12"/>
      <c r="G6" s="13"/>
      <c r="H6" s="14"/>
      <c r="I6" s="15"/>
      <c r="J6" s="16"/>
      <c r="K6" s="17"/>
    </row>
    <row r="7" spans="1:11" s="2" customFormat="1" ht="11.25" customHeight="1" x14ac:dyDescent="0.2">
      <c r="A7" s="9"/>
      <c r="B7" s="18"/>
      <c r="C7" s="18"/>
      <c r="D7" s="11"/>
      <c r="E7" s="12"/>
      <c r="F7" s="12"/>
      <c r="G7" s="13"/>
      <c r="H7" s="14"/>
      <c r="I7" s="15"/>
      <c r="J7" s="16"/>
      <c r="K7" s="17"/>
    </row>
    <row r="8" spans="1:11" s="2" customFormat="1" ht="11.25" customHeight="1" x14ac:dyDescent="0.2">
      <c r="A8" s="9"/>
      <c r="B8" s="18"/>
      <c r="C8" s="18"/>
      <c r="D8" s="11"/>
      <c r="E8" s="12"/>
      <c r="F8" s="12"/>
      <c r="G8" s="13"/>
      <c r="H8" s="14"/>
      <c r="I8" s="15"/>
      <c r="J8" s="16"/>
      <c r="K8" s="17"/>
    </row>
    <row r="9" spans="1:11" s="2" customFormat="1" ht="22.5" customHeight="1" x14ac:dyDescent="0.2">
      <c r="A9" s="10"/>
      <c r="B9" s="19"/>
      <c r="C9" s="19"/>
      <c r="D9" s="304" t="s">
        <v>4</v>
      </c>
      <c r="E9" s="305"/>
      <c r="F9" s="161" t="s">
        <v>7</v>
      </c>
      <c r="G9" s="161" t="s">
        <v>8</v>
      </c>
      <c r="H9" s="19"/>
      <c r="I9" s="19"/>
      <c r="J9" s="19"/>
      <c r="K9" s="20"/>
    </row>
    <row r="10" spans="1:11" s="2" customFormat="1" ht="26.25" customHeight="1" x14ac:dyDescent="0.2">
      <c r="A10" s="21"/>
      <c r="B10" s="15"/>
      <c r="C10" s="22"/>
      <c r="D10" s="309" t="s">
        <v>162</v>
      </c>
      <c r="E10" s="309"/>
      <c r="F10" s="23">
        <v>200</v>
      </c>
      <c r="G10" s="144"/>
      <c r="H10" s="124"/>
      <c r="I10" s="25"/>
      <c r="J10" s="25"/>
      <c r="K10" s="26"/>
    </row>
    <row r="11" spans="1:11" s="2" customFormat="1" ht="15" customHeight="1" x14ac:dyDescent="0.2">
      <c r="A11" s="21"/>
      <c r="B11" s="24"/>
      <c r="C11" s="8"/>
      <c r="D11" s="310" t="s">
        <v>159</v>
      </c>
      <c r="E11" s="310"/>
      <c r="F11" s="60">
        <v>150</v>
      </c>
      <c r="G11" s="123"/>
      <c r="H11" s="25"/>
      <c r="I11" s="25"/>
      <c r="J11" s="25"/>
      <c r="K11" s="26"/>
    </row>
    <row r="12" spans="1:11" s="2" customFormat="1" ht="13.5" customHeight="1" x14ac:dyDescent="0.2">
      <c r="A12" s="21"/>
      <c r="B12" s="24"/>
      <c r="C12" s="8"/>
      <c r="D12" s="310" t="s">
        <v>9</v>
      </c>
      <c r="E12" s="310"/>
      <c r="F12" s="125">
        <v>54</v>
      </c>
      <c r="G12" s="126"/>
      <c r="H12" s="25"/>
      <c r="I12" s="25"/>
      <c r="J12" s="25"/>
      <c r="K12" s="26"/>
    </row>
    <row r="13" spans="1:11" s="2" customFormat="1" ht="34.5" customHeight="1" x14ac:dyDescent="0.2">
      <c r="A13" s="21"/>
      <c r="B13" s="24"/>
      <c r="C13" s="8"/>
      <c r="D13" s="310" t="s">
        <v>10</v>
      </c>
      <c r="E13" s="310"/>
      <c r="F13" s="140" t="s">
        <v>11</v>
      </c>
      <c r="G13" s="143"/>
      <c r="H13" s="25"/>
      <c r="I13" s="25"/>
      <c r="J13" s="25"/>
      <c r="K13" s="26"/>
    </row>
    <row r="14" spans="1:11" s="3" customFormat="1" ht="10.5" customHeight="1" x14ac:dyDescent="0.25">
      <c r="A14" s="97"/>
      <c r="B14" s="98"/>
      <c r="C14" s="27"/>
      <c r="D14" s="27"/>
      <c r="E14" s="27"/>
      <c r="F14" s="27"/>
      <c r="G14" s="27"/>
      <c r="H14" s="98"/>
      <c r="I14" s="98"/>
      <c r="J14" s="98"/>
      <c r="K14" s="99"/>
    </row>
    <row r="15" spans="1:11" s="3" customFormat="1" ht="10.5" customHeight="1" x14ac:dyDescent="0.25">
      <c r="A15" s="97"/>
      <c r="B15" s="98"/>
      <c r="C15" s="27"/>
      <c r="D15" s="27"/>
      <c r="E15" s="27"/>
      <c r="F15" s="27"/>
      <c r="G15" s="27"/>
      <c r="H15" s="98"/>
      <c r="I15" s="98"/>
      <c r="J15" s="98"/>
      <c r="K15" s="99"/>
    </row>
    <row r="16" spans="1:11" s="3" customFormat="1" ht="11.25" customHeight="1" x14ac:dyDescent="0.2">
      <c r="A16" s="30" t="s">
        <v>12</v>
      </c>
      <c r="K16" s="6"/>
    </row>
    <row r="17" spans="1:11" s="3" customFormat="1" ht="11.25" customHeight="1" x14ac:dyDescent="0.2">
      <c r="A17" s="30"/>
      <c r="K17" s="6"/>
    </row>
    <row r="18" spans="1:11" s="3" customFormat="1" ht="11.25" customHeight="1" x14ac:dyDescent="0.2">
      <c r="A18" s="28"/>
      <c r="K18" s="6"/>
    </row>
    <row r="19" spans="1:11" s="3" customFormat="1" ht="11.25" customHeight="1" x14ac:dyDescent="0.2">
      <c r="A19" s="40" t="s">
        <v>13</v>
      </c>
      <c r="C19" s="311" t="s">
        <v>14</v>
      </c>
      <c r="D19" s="311"/>
      <c r="E19" s="32">
        <f>5.68/2</f>
        <v>2.84</v>
      </c>
      <c r="F19" s="33" t="s">
        <v>2</v>
      </c>
      <c r="G19" s="312"/>
      <c r="H19" s="312"/>
      <c r="I19" s="225"/>
      <c r="J19" s="320"/>
      <c r="K19" s="226"/>
    </row>
    <row r="20" spans="1:11" s="3" customFormat="1" ht="11.25" customHeight="1" x14ac:dyDescent="0.2">
      <c r="A20" s="29"/>
      <c r="C20" s="322" t="s">
        <v>17</v>
      </c>
      <c r="D20" s="322"/>
      <c r="E20" s="32">
        <v>3</v>
      </c>
      <c r="F20" s="33" t="s">
        <v>2</v>
      </c>
      <c r="G20" s="321"/>
      <c r="H20" s="321"/>
      <c r="I20" s="227"/>
      <c r="J20" s="320"/>
      <c r="K20" s="228"/>
    </row>
    <row r="21" spans="1:11" s="3" customFormat="1" ht="11.25" customHeight="1" x14ac:dyDescent="0.2">
      <c r="A21" s="29"/>
      <c r="B21" s="35" t="s">
        <v>20</v>
      </c>
      <c r="C21" s="322" t="s">
        <v>21</v>
      </c>
      <c r="D21" s="322"/>
      <c r="E21" s="37">
        <v>3</v>
      </c>
      <c r="F21" s="33" t="s">
        <v>2</v>
      </c>
      <c r="G21" s="208" t="s">
        <v>22</v>
      </c>
      <c r="H21" s="229">
        <f>E21/E19</f>
        <v>1.0563380281690142</v>
      </c>
      <c r="I21" s="318" t="s">
        <v>156</v>
      </c>
      <c r="J21" s="318"/>
      <c r="K21" s="319"/>
    </row>
    <row r="22" spans="1:11" s="3" customFormat="1" ht="11.25" customHeight="1" x14ac:dyDescent="0.2">
      <c r="A22" s="29"/>
      <c r="K22" s="6"/>
    </row>
    <row r="23" spans="1:11" s="3" customFormat="1" ht="11.25" customHeight="1" x14ac:dyDescent="0.2">
      <c r="A23" s="29"/>
      <c r="K23" s="6"/>
    </row>
    <row r="24" spans="1:11" s="3" customFormat="1" ht="11.25" customHeight="1" x14ac:dyDescent="0.2">
      <c r="A24" s="28" t="s">
        <v>23</v>
      </c>
      <c r="K24" s="6"/>
    </row>
    <row r="25" spans="1:11" s="3" customFormat="1" ht="11.25" customHeight="1" x14ac:dyDescent="0.2">
      <c r="A25" s="28"/>
      <c r="K25" s="6"/>
    </row>
    <row r="26" spans="1:11" s="3" customFormat="1" ht="11.25" customHeight="1" x14ac:dyDescent="0.2">
      <c r="A26" s="28"/>
      <c r="K26" s="6"/>
    </row>
    <row r="27" spans="1:11" s="3" customFormat="1" ht="11.25" customHeight="1" x14ac:dyDescent="0.2">
      <c r="A27" s="41" t="s">
        <v>24</v>
      </c>
      <c r="B27" s="4" t="s">
        <v>25</v>
      </c>
      <c r="C27" s="4"/>
      <c r="G27" s="223"/>
      <c r="H27" s="224"/>
      <c r="I27" s="165"/>
      <c r="K27" s="6"/>
    </row>
    <row r="28" spans="1:11" s="3" customFormat="1" ht="11.25" customHeight="1" x14ac:dyDescent="0.2">
      <c r="A28" s="139"/>
      <c r="B28" s="4"/>
      <c r="C28" s="4"/>
      <c r="G28" s="127"/>
      <c r="H28" s="138"/>
      <c r="I28" s="165"/>
      <c r="K28" s="6"/>
    </row>
    <row r="29" spans="1:11" s="3" customFormat="1" ht="11.25" customHeight="1" x14ac:dyDescent="0.2">
      <c r="A29" s="139"/>
      <c r="B29" s="4"/>
      <c r="C29" s="4"/>
      <c r="K29" s="6"/>
    </row>
    <row r="30" spans="1:11" s="3" customFormat="1" ht="11.25" customHeight="1" x14ac:dyDescent="0.2">
      <c r="A30" s="30" t="s">
        <v>26</v>
      </c>
      <c r="B30" s="127"/>
      <c r="C30" s="138"/>
      <c r="D30" s="33"/>
      <c r="E30" s="38"/>
      <c r="G30" s="33"/>
      <c r="H30" s="33"/>
      <c r="I30" s="33"/>
      <c r="J30" s="33"/>
      <c r="K30" s="6"/>
    </row>
    <row r="31" spans="1:11" s="3" customFormat="1" ht="11.25" customHeight="1" x14ac:dyDescent="0.2">
      <c r="A31" s="30"/>
      <c r="B31" s="127"/>
      <c r="C31" s="138"/>
      <c r="D31" s="33"/>
      <c r="E31" s="38"/>
      <c r="G31" s="33"/>
      <c r="H31" s="33"/>
      <c r="I31" s="33"/>
      <c r="J31" s="33"/>
      <c r="K31" s="6"/>
    </row>
    <row r="32" spans="1:11" s="3" customFormat="1" ht="11.25" customHeight="1" x14ac:dyDescent="0.2">
      <c r="A32" s="29"/>
      <c r="B32" s="127"/>
      <c r="C32" s="138"/>
      <c r="D32" s="33"/>
      <c r="E32" s="38"/>
      <c r="G32" s="33"/>
      <c r="H32" s="33"/>
      <c r="I32" s="33"/>
      <c r="J32" s="33"/>
      <c r="K32" s="6"/>
    </row>
    <row r="33" spans="1:11" s="3" customFormat="1" ht="11.25" customHeight="1" x14ac:dyDescent="0.2">
      <c r="A33" s="39"/>
      <c r="C33" s="40" t="s">
        <v>27</v>
      </c>
      <c r="D33" s="40" t="s">
        <v>28</v>
      </c>
      <c r="E33" s="41" t="s">
        <v>29</v>
      </c>
      <c r="G33" s="44"/>
      <c r="K33" s="6"/>
    </row>
    <row r="34" spans="1:11" s="3" customFormat="1" ht="11.25" customHeight="1" x14ac:dyDescent="0.2">
      <c r="A34" s="39"/>
      <c r="C34" s="42">
        <f>E21</f>
        <v>3</v>
      </c>
      <c r="D34" s="42">
        <f>E19</f>
        <v>2.84</v>
      </c>
      <c r="E34" s="42">
        <f>F10/1000</f>
        <v>0.2</v>
      </c>
      <c r="K34" s="6"/>
    </row>
    <row r="35" spans="1:11" s="3" customFormat="1" ht="11.25" customHeight="1" x14ac:dyDescent="0.2">
      <c r="A35" s="29"/>
      <c r="C35" s="40" t="s">
        <v>30</v>
      </c>
      <c r="D35" s="40" t="s">
        <v>31</v>
      </c>
      <c r="E35" s="41" t="s">
        <v>32</v>
      </c>
      <c r="F35" s="4"/>
      <c r="G35" s="163"/>
      <c r="K35" s="6"/>
    </row>
    <row r="36" spans="1:11" s="3" customFormat="1" ht="11.25" customHeight="1" x14ac:dyDescent="0.2">
      <c r="A36" s="29"/>
      <c r="C36" s="43">
        <f>C34/0.0254</f>
        <v>118.11023622047244</v>
      </c>
      <c r="D36" s="43">
        <f>D34/0.0254</f>
        <v>111.81102362204724</v>
      </c>
      <c r="E36" s="43">
        <f>E34/0.0254</f>
        <v>7.8740157480314972</v>
      </c>
      <c r="K36" s="6"/>
    </row>
    <row r="37" spans="1:11" s="3" customFormat="1" ht="11.25" customHeight="1" x14ac:dyDescent="0.2">
      <c r="A37" s="29"/>
      <c r="K37" s="6"/>
    </row>
    <row r="38" spans="1:11" s="3" customFormat="1" ht="11.25" customHeight="1" x14ac:dyDescent="0.2">
      <c r="A38" s="52"/>
      <c r="D38" s="25"/>
      <c r="E38" s="25"/>
      <c r="F38" s="25"/>
      <c r="G38" s="25"/>
      <c r="H38" s="44"/>
      <c r="I38" s="47"/>
      <c r="J38" s="44"/>
      <c r="K38" s="6"/>
    </row>
    <row r="39" spans="1:11" s="3" customFormat="1" ht="10.5" customHeight="1" x14ac:dyDescent="0.2">
      <c r="A39" s="29"/>
      <c r="B39" s="44"/>
      <c r="I39" s="47"/>
      <c r="J39" s="44"/>
      <c r="K39" s="6"/>
    </row>
    <row r="40" spans="1:11" s="3" customFormat="1" ht="10.5" customHeight="1" x14ac:dyDescent="0.2">
      <c r="A40" s="29"/>
      <c r="I40" s="47"/>
      <c r="J40" s="44"/>
      <c r="K40" s="6"/>
    </row>
    <row r="41" spans="1:11" s="3" customFormat="1" ht="10.5" customHeight="1" x14ac:dyDescent="0.2">
      <c r="A41" s="29"/>
      <c r="I41" s="47"/>
      <c r="J41" s="44"/>
      <c r="K41" s="6"/>
    </row>
    <row r="42" spans="1:11" s="3" customFormat="1" ht="15" customHeight="1" x14ac:dyDescent="0.2">
      <c r="A42" s="29"/>
      <c r="I42" s="47"/>
      <c r="J42" s="44"/>
      <c r="K42" s="6"/>
    </row>
    <row r="43" spans="1:11" s="3" customFormat="1" ht="15" customHeight="1" x14ac:dyDescent="0.2">
      <c r="A43" s="29"/>
      <c r="B43" s="164"/>
      <c r="H43" s="142"/>
      <c r="I43" s="47"/>
      <c r="J43" s="163"/>
      <c r="K43" s="6"/>
    </row>
    <row r="44" spans="1:11" s="3" customFormat="1" ht="10.5" customHeight="1" x14ac:dyDescent="0.2">
      <c r="A44" s="29"/>
      <c r="I44" s="47"/>
      <c r="J44" s="44"/>
      <c r="K44" s="6"/>
    </row>
    <row r="45" spans="1:11" s="3" customFormat="1" ht="10.5" customHeight="1" x14ac:dyDescent="0.2">
      <c r="A45" s="113"/>
      <c r="B45" s="114"/>
      <c r="C45" s="114"/>
      <c r="D45" s="114"/>
      <c r="E45" s="114"/>
      <c r="F45" s="114"/>
      <c r="G45" s="114"/>
      <c r="H45" s="114"/>
      <c r="I45" s="57"/>
      <c r="J45" s="154"/>
      <c r="K45" s="115"/>
    </row>
    <row r="46" spans="1:11" s="33" customFormat="1" ht="11.25" customHeight="1" x14ac:dyDescent="0.2">
      <c r="A46" s="155" t="s">
        <v>33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41"/>
    </row>
    <row r="47" spans="1:11" s="33" customFormat="1" ht="11.25" customHeight="1" x14ac:dyDescent="0.2">
      <c r="A47" s="28"/>
      <c r="K47" s="53"/>
    </row>
    <row r="48" spans="1:11" s="33" customFormat="1" ht="11.25" customHeight="1" x14ac:dyDescent="0.2">
      <c r="A48" s="54"/>
      <c r="K48" s="53"/>
    </row>
    <row r="49" spans="1:11" s="33" customFormat="1" ht="11.25" customHeight="1" x14ac:dyDescent="0.2">
      <c r="A49" s="52" t="s">
        <v>34</v>
      </c>
      <c r="K49" s="53"/>
    </row>
    <row r="50" spans="1:11" s="33" customFormat="1" ht="11.25" customHeight="1" x14ac:dyDescent="0.2">
      <c r="A50" s="52"/>
      <c r="K50" s="53"/>
    </row>
    <row r="51" spans="1:11" s="33" customFormat="1" ht="11.25" customHeight="1" x14ac:dyDescent="0.2">
      <c r="A51" s="54"/>
      <c r="K51" s="53"/>
    </row>
    <row r="52" spans="1:11" s="33" customFormat="1" ht="11.25" customHeight="1" x14ac:dyDescent="0.2">
      <c r="A52" s="35" t="s">
        <v>35</v>
      </c>
      <c r="B52" s="35" t="s">
        <v>36</v>
      </c>
      <c r="C52" s="35">
        <v>4200</v>
      </c>
      <c r="D52" s="66" t="s">
        <v>3</v>
      </c>
      <c r="E52" s="35">
        <f>C52/0.07</f>
        <v>59999.999999999993</v>
      </c>
      <c r="F52" s="66" t="s">
        <v>37</v>
      </c>
      <c r="K52" s="53"/>
    </row>
    <row r="53" spans="1:11" s="33" customFormat="1" ht="11.25" customHeight="1" x14ac:dyDescent="0.2">
      <c r="A53" s="35" t="s">
        <v>38</v>
      </c>
      <c r="B53" s="61" t="s">
        <v>39</v>
      </c>
      <c r="C53" s="35">
        <v>12.7</v>
      </c>
      <c r="D53" s="66" t="s">
        <v>40</v>
      </c>
      <c r="E53" s="62">
        <f>C53/25.4</f>
        <v>0.5</v>
      </c>
      <c r="F53" s="66" t="s">
        <v>41</v>
      </c>
      <c r="K53" s="53"/>
    </row>
    <row r="54" spans="1:11" s="33" customFormat="1" ht="11.25" customHeight="1" x14ac:dyDescent="0.2">
      <c r="A54" s="315" t="s">
        <v>42</v>
      </c>
      <c r="B54" s="317"/>
      <c r="C54" s="35" t="s">
        <v>43</v>
      </c>
      <c r="K54" s="53"/>
    </row>
    <row r="55" spans="1:11" s="33" customFormat="1" ht="11.25" customHeight="1" x14ac:dyDescent="0.2">
      <c r="A55" s="48"/>
      <c r="B55" s="63"/>
      <c r="K55" s="53"/>
    </row>
    <row r="56" spans="1:11" s="33" customFormat="1" ht="11.25" customHeight="1" x14ac:dyDescent="0.2">
      <c r="A56" s="70" t="s">
        <v>44</v>
      </c>
      <c r="K56" s="53"/>
    </row>
    <row r="57" spans="1:11" s="33" customFormat="1" ht="11.25" customHeight="1" x14ac:dyDescent="0.2">
      <c r="A57" s="315" t="s">
        <v>45</v>
      </c>
      <c r="B57" s="316"/>
      <c r="C57" s="317"/>
      <c r="D57" s="313" t="s">
        <v>13</v>
      </c>
      <c r="E57" s="314"/>
      <c r="K57" s="53"/>
    </row>
    <row r="58" spans="1:11" s="33" customFormat="1" ht="11.25" customHeight="1" x14ac:dyDescent="0.2">
      <c r="A58" s="315" t="s">
        <v>46</v>
      </c>
      <c r="B58" s="316"/>
      <c r="C58" s="317"/>
      <c r="D58" s="193" t="s">
        <v>157</v>
      </c>
      <c r="E58" s="194"/>
      <c r="F58" s="195"/>
      <c r="G58" s="166"/>
      <c r="K58" s="53"/>
    </row>
    <row r="59" spans="1:11" s="33" customFormat="1" ht="11.25" customHeight="1" x14ac:dyDescent="0.2">
      <c r="A59" s="315" t="s">
        <v>47</v>
      </c>
      <c r="B59" s="316"/>
      <c r="C59" s="317"/>
      <c r="D59" s="326" t="s">
        <v>48</v>
      </c>
      <c r="E59" s="327"/>
      <c r="F59" s="327"/>
      <c r="G59" s="328"/>
      <c r="K59" s="53"/>
    </row>
    <row r="60" spans="1:11" s="33" customFormat="1" ht="11.25" customHeight="1" x14ac:dyDescent="0.2">
      <c r="A60" s="54"/>
      <c r="K60" s="53"/>
    </row>
    <row r="61" spans="1:11" s="33" customFormat="1" ht="11.25" customHeight="1" x14ac:dyDescent="0.2">
      <c r="A61" s="54"/>
      <c r="K61" s="53"/>
    </row>
    <row r="62" spans="1:11" s="33" customFormat="1" ht="11.25" customHeight="1" x14ac:dyDescent="0.2">
      <c r="A62" s="70" t="s">
        <v>49</v>
      </c>
      <c r="B62" s="64"/>
      <c r="E62" s="65"/>
      <c r="K62" s="53"/>
    </row>
    <row r="63" spans="1:11" s="33" customFormat="1" ht="11.25" customHeight="1" x14ac:dyDescent="0.2">
      <c r="A63" s="35" t="s">
        <v>50</v>
      </c>
      <c r="B63" s="35" t="s">
        <v>51</v>
      </c>
      <c r="C63" s="128">
        <f>($D$34-0.2)</f>
        <v>2.6399999999999997</v>
      </c>
      <c r="D63" s="66" t="s">
        <v>52</v>
      </c>
      <c r="E63" s="66"/>
      <c r="K63" s="53"/>
    </row>
    <row r="64" spans="1:11" s="33" customFormat="1" ht="11.25" customHeight="1" x14ac:dyDescent="0.2">
      <c r="A64" s="67" t="s">
        <v>53</v>
      </c>
      <c r="B64" s="67" t="s">
        <v>54</v>
      </c>
      <c r="C64" s="35">
        <v>0.2</v>
      </c>
      <c r="D64" s="66" t="s">
        <v>52</v>
      </c>
      <c r="K64" s="53"/>
    </row>
    <row r="65" spans="1:11" s="33" customFormat="1" ht="11.25" customHeight="1" x14ac:dyDescent="0.2">
      <c r="A65" s="36" t="s">
        <v>55</v>
      </c>
      <c r="B65" s="179">
        <f>($C$34)/($C$64)</f>
        <v>15</v>
      </c>
      <c r="C65" s="68"/>
      <c r="K65" s="53"/>
    </row>
    <row r="66" spans="1:11" s="33" customFormat="1" ht="11.25" customHeight="1" x14ac:dyDescent="0.2">
      <c r="A66" s="93"/>
      <c r="B66" s="177"/>
      <c r="C66" s="178"/>
      <c r="K66" s="53"/>
    </row>
    <row r="67" spans="1:11" s="33" customFormat="1" ht="11.25" customHeight="1" x14ac:dyDescent="0.2">
      <c r="A67" s="54"/>
      <c r="K67" s="53"/>
    </row>
    <row r="68" spans="1:11" s="33" customFormat="1" ht="11.25" customHeight="1" x14ac:dyDescent="0.2">
      <c r="A68" s="70" t="s">
        <v>56</v>
      </c>
      <c r="B68" s="64"/>
      <c r="E68" s="65"/>
      <c r="K68" s="53"/>
    </row>
    <row r="69" spans="1:11" s="33" customFormat="1" ht="11.25" customHeight="1" x14ac:dyDescent="0.2">
      <c r="A69" s="35" t="s">
        <v>50</v>
      </c>
      <c r="B69" s="35" t="s">
        <v>51</v>
      </c>
      <c r="C69" s="128">
        <f>($C$34-0.2)</f>
        <v>2.8</v>
      </c>
      <c r="D69" s="66" t="s">
        <v>52</v>
      </c>
      <c r="E69" s="66"/>
      <c r="K69" s="53"/>
    </row>
    <row r="70" spans="1:11" s="33" customFormat="1" ht="11.25" customHeight="1" x14ac:dyDescent="0.2">
      <c r="A70" s="67" t="s">
        <v>53</v>
      </c>
      <c r="B70" s="67" t="s">
        <v>54</v>
      </c>
      <c r="C70" s="35">
        <v>0.2</v>
      </c>
      <c r="D70" s="66" t="s">
        <v>52</v>
      </c>
      <c r="K70" s="53"/>
    </row>
    <row r="71" spans="1:11" s="33" customFormat="1" ht="11.25" customHeight="1" x14ac:dyDescent="0.2">
      <c r="A71" s="36" t="s">
        <v>55</v>
      </c>
      <c r="B71" s="179">
        <f>($D$34)/($C$70)</f>
        <v>14.2</v>
      </c>
      <c r="C71" s="68"/>
      <c r="K71" s="53"/>
    </row>
    <row r="72" spans="1:11" s="33" customFormat="1" ht="11.25" customHeight="1" x14ac:dyDescent="0.2">
      <c r="A72" s="54"/>
      <c r="D72" s="162"/>
      <c r="E72" s="162"/>
      <c r="F72" s="162"/>
      <c r="G72" s="162"/>
      <c r="H72" s="47"/>
      <c r="I72" s="47"/>
      <c r="J72" s="332"/>
      <c r="K72" s="333"/>
    </row>
    <row r="73" spans="1:11" s="33" customFormat="1" ht="11.25" customHeight="1" x14ac:dyDescent="0.2">
      <c r="A73" s="54"/>
      <c r="I73" s="47"/>
      <c r="K73" s="53"/>
    </row>
    <row r="74" spans="1:11" s="33" customFormat="1" ht="11.25" customHeight="1" x14ac:dyDescent="0.2">
      <c r="A74" s="54"/>
      <c r="K74" s="53"/>
    </row>
    <row r="75" spans="1:11" s="33" customFormat="1" ht="11.25" customHeight="1" x14ac:dyDescent="0.25">
      <c r="A75" s="93"/>
      <c r="B75"/>
      <c r="C75"/>
      <c r="D75"/>
      <c r="E75"/>
      <c r="F75"/>
      <c r="G75" s="3"/>
      <c r="H75" s="3"/>
      <c r="I75" s="3"/>
      <c r="J75" s="3"/>
      <c r="K75" s="132"/>
    </row>
    <row r="76" spans="1:11" s="33" customFormat="1" ht="11.25" customHeight="1" x14ac:dyDescent="0.2">
      <c r="A76" s="54"/>
      <c r="D76" s="44"/>
      <c r="I76" s="44"/>
      <c r="K76" s="53"/>
    </row>
    <row r="77" spans="1:11" s="33" customFormat="1" ht="11.25" customHeight="1" x14ac:dyDescent="0.2">
      <c r="A77" s="186"/>
      <c r="B77" s="4"/>
      <c r="K77" s="53"/>
    </row>
    <row r="78" spans="1:11" s="33" customFormat="1" ht="11.25" customHeight="1" x14ac:dyDescent="0.2">
      <c r="A78" s="186"/>
      <c r="B78" s="162"/>
      <c r="C78" s="162"/>
      <c r="D78" s="162"/>
      <c r="E78" s="162"/>
      <c r="F78" s="162"/>
      <c r="G78" s="47"/>
      <c r="H78" s="47"/>
      <c r="J78" s="47"/>
      <c r="K78" s="46"/>
    </row>
    <row r="79" spans="1:11" s="33" customFormat="1" ht="11.25" customHeight="1" x14ac:dyDescent="0.2">
      <c r="A79" s="54"/>
      <c r="D79" s="162"/>
      <c r="E79" s="162"/>
      <c r="F79" s="162"/>
      <c r="G79" s="162"/>
      <c r="H79" s="162"/>
      <c r="K79" s="53"/>
    </row>
    <row r="80" spans="1:11" s="33" customFormat="1" ht="11.25" customHeight="1" x14ac:dyDescent="0.2">
      <c r="A80" s="54"/>
      <c r="B80" s="175"/>
      <c r="C80" s="175"/>
      <c r="D80" s="175"/>
      <c r="E80" s="175"/>
      <c r="F80" s="175"/>
      <c r="H80" s="176"/>
      <c r="I80" s="176"/>
      <c r="J80" s="176"/>
      <c r="K80" s="53"/>
    </row>
    <row r="81" spans="1:11" s="33" customFormat="1" ht="11.25" customHeight="1" x14ac:dyDescent="0.2">
      <c r="A81" s="54"/>
      <c r="K81" s="53"/>
    </row>
    <row r="82" spans="1:11" s="33" customFormat="1" ht="11.25" customHeight="1" x14ac:dyDescent="0.2">
      <c r="A82" s="54"/>
      <c r="E82" s="59"/>
      <c r="F82" s="142"/>
      <c r="G82" s="44"/>
      <c r="K82" s="53"/>
    </row>
    <row r="83" spans="1:11" s="33" customFormat="1" ht="11.25" customHeight="1" x14ac:dyDescent="0.2">
      <c r="A83" s="54"/>
      <c r="E83" s="59"/>
      <c r="F83" s="44"/>
      <c r="G83" s="44"/>
      <c r="K83" s="53"/>
    </row>
    <row r="84" spans="1:11" s="33" customFormat="1" ht="11.25" customHeight="1" x14ac:dyDescent="0.2">
      <c r="A84" s="54"/>
      <c r="E84" s="59"/>
      <c r="F84" s="44"/>
      <c r="G84" s="44"/>
      <c r="K84" s="53"/>
    </row>
    <row r="85" spans="1:11" s="33" customFormat="1" ht="11.25" customHeight="1" x14ac:dyDescent="0.2">
      <c r="A85" s="54"/>
      <c r="E85" s="59"/>
      <c r="F85" s="44"/>
      <c r="G85" s="63"/>
      <c r="H85" s="45"/>
      <c r="K85" s="53"/>
    </row>
    <row r="86" spans="1:11" s="33" customFormat="1" ht="11.25" customHeight="1" x14ac:dyDescent="0.2">
      <c r="A86" s="54"/>
      <c r="E86" s="59"/>
      <c r="F86" s="44"/>
      <c r="G86" s="63"/>
      <c r="H86" s="45"/>
      <c r="K86" s="53"/>
    </row>
    <row r="87" spans="1:11" s="33" customFormat="1" ht="11.25" customHeight="1" x14ac:dyDescent="0.2">
      <c r="A87" s="54"/>
      <c r="E87" s="59"/>
      <c r="F87" s="44"/>
      <c r="G87" s="63"/>
      <c r="H87" s="45"/>
      <c r="K87" s="53"/>
    </row>
    <row r="88" spans="1:11" s="33" customFormat="1" ht="11.25" customHeight="1" x14ac:dyDescent="0.2">
      <c r="A88" s="54"/>
      <c r="E88" s="59"/>
      <c r="F88" s="44"/>
      <c r="G88" s="63"/>
      <c r="H88" s="45"/>
      <c r="K88" s="53"/>
    </row>
    <row r="89" spans="1:11" s="33" customFormat="1" ht="11.25" customHeight="1" x14ac:dyDescent="0.2">
      <c r="A89" s="54"/>
      <c r="E89" s="59"/>
      <c r="F89" s="44"/>
      <c r="G89" s="63"/>
      <c r="H89" s="45"/>
      <c r="K89" s="53"/>
    </row>
    <row r="90" spans="1:11" s="33" customFormat="1" ht="11.25" customHeight="1" x14ac:dyDescent="0.2">
      <c r="A90" s="54"/>
      <c r="E90" s="59"/>
      <c r="F90" s="44"/>
      <c r="G90" s="63"/>
      <c r="H90" s="45"/>
      <c r="K90" s="53"/>
    </row>
    <row r="91" spans="1:11" s="33" customFormat="1" ht="11.25" customHeight="1" x14ac:dyDescent="0.2">
      <c r="A91" s="54"/>
      <c r="E91" s="59"/>
      <c r="F91" s="44"/>
      <c r="G91" s="63"/>
      <c r="H91" s="45"/>
      <c r="K91" s="53"/>
    </row>
    <row r="92" spans="1:11" s="33" customFormat="1" ht="11.25" customHeight="1" x14ac:dyDescent="0.2">
      <c r="A92" s="54"/>
      <c r="E92" s="59"/>
      <c r="F92" s="44"/>
      <c r="G92" s="63"/>
      <c r="H92" s="45"/>
      <c r="K92" s="53"/>
    </row>
    <row r="93" spans="1:11" s="33" customFormat="1" ht="11.25" customHeight="1" x14ac:dyDescent="0.2">
      <c r="A93" s="54"/>
      <c r="E93" s="59"/>
      <c r="F93" s="44"/>
      <c r="G93" s="63"/>
      <c r="H93" s="45"/>
      <c r="K93" s="53"/>
    </row>
    <row r="94" spans="1:11" s="33" customFormat="1" ht="11.25" customHeight="1" x14ac:dyDescent="0.2">
      <c r="A94" s="54"/>
      <c r="E94" s="59"/>
      <c r="F94" s="44"/>
      <c r="G94" s="44"/>
      <c r="K94" s="53"/>
    </row>
    <row r="95" spans="1:11" s="33" customFormat="1" ht="11.25" customHeight="1" x14ac:dyDescent="0.2">
      <c r="A95" s="54"/>
      <c r="E95" s="59"/>
      <c r="F95" s="44"/>
      <c r="G95" s="44"/>
      <c r="K95" s="53"/>
    </row>
    <row r="96" spans="1:11" s="33" customFormat="1" ht="11.25" customHeight="1" x14ac:dyDescent="0.2">
      <c r="A96" s="145"/>
      <c r="B96" s="56"/>
      <c r="C96" s="56"/>
      <c r="D96" s="56"/>
      <c r="E96" s="187"/>
      <c r="F96" s="154"/>
      <c r="G96" s="188"/>
      <c r="H96" s="56"/>
      <c r="I96" s="56"/>
      <c r="J96" s="56"/>
      <c r="K96" s="58"/>
    </row>
    <row r="97" spans="1:11" s="33" customFormat="1" ht="11.25" customHeight="1" x14ac:dyDescent="0.2">
      <c r="A97" s="158" t="s">
        <v>57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41"/>
    </row>
    <row r="98" spans="1:11" s="33" customFormat="1" ht="11.25" customHeight="1" x14ac:dyDescent="0.2">
      <c r="A98" s="52"/>
      <c r="K98" s="53"/>
    </row>
    <row r="99" spans="1:11" s="33" customFormat="1" ht="11.25" customHeight="1" x14ac:dyDescent="0.2">
      <c r="A99" s="52"/>
      <c r="K99" s="53"/>
    </row>
    <row r="100" spans="1:11" s="33" customFormat="1" ht="11.25" customHeight="1" x14ac:dyDescent="0.2">
      <c r="A100" s="52" t="s">
        <v>58</v>
      </c>
      <c r="K100" s="53"/>
    </row>
    <row r="101" spans="1:11" s="33" customFormat="1" ht="11.25" customHeight="1" x14ac:dyDescent="0.2">
      <c r="A101" s="52"/>
      <c r="K101" s="53"/>
    </row>
    <row r="102" spans="1:11" s="33" customFormat="1" ht="11.25" customHeight="1" x14ac:dyDescent="0.2">
      <c r="A102" s="70"/>
      <c r="K102" s="53"/>
    </row>
    <row r="103" spans="1:11" s="33" customFormat="1" ht="15" customHeight="1" x14ac:dyDescent="0.35">
      <c r="A103" s="54"/>
      <c r="B103" s="345" t="s">
        <v>59</v>
      </c>
      <c r="C103" s="345"/>
      <c r="D103" s="345"/>
      <c r="E103" s="345"/>
      <c r="F103" s="63" t="s">
        <v>60</v>
      </c>
      <c r="K103" s="53"/>
    </row>
    <row r="104" spans="1:11" s="33" customFormat="1" ht="11.25" customHeight="1" x14ac:dyDescent="0.2">
      <c r="A104" s="54"/>
      <c r="B104" s="71"/>
      <c r="C104" s="71"/>
      <c r="D104" s="71"/>
      <c r="K104" s="53"/>
    </row>
    <row r="105" spans="1:11" s="33" customFormat="1" ht="15" customHeight="1" x14ac:dyDescent="0.35">
      <c r="A105" s="54"/>
      <c r="B105" s="346" t="s">
        <v>61</v>
      </c>
      <c r="C105" s="346"/>
      <c r="D105" s="346"/>
      <c r="E105" s="346"/>
      <c r="F105" s="63" t="s">
        <v>62</v>
      </c>
      <c r="K105" s="53"/>
    </row>
    <row r="106" spans="1:11" s="33" customFormat="1" ht="11.25" customHeight="1" x14ac:dyDescent="0.25">
      <c r="A106" s="54"/>
      <c r="B106" s="73"/>
      <c r="C106" s="73"/>
      <c r="D106" s="73"/>
      <c r="E106" s="63"/>
      <c r="K106" s="53"/>
    </row>
    <row r="107" spans="1:11" s="33" customFormat="1" ht="15" customHeight="1" x14ac:dyDescent="0.35">
      <c r="A107" s="54"/>
      <c r="B107" s="346" t="s">
        <v>63</v>
      </c>
      <c r="C107" s="346"/>
      <c r="D107" s="346"/>
      <c r="E107" s="47"/>
      <c r="F107" s="47" t="s">
        <v>64</v>
      </c>
      <c r="H107" s="74"/>
      <c r="K107" s="53"/>
    </row>
    <row r="108" spans="1:11" s="33" customFormat="1" ht="11.25" customHeight="1" x14ac:dyDescent="0.25">
      <c r="A108" s="54"/>
      <c r="B108" s="73"/>
      <c r="C108" s="73"/>
      <c r="D108" s="4"/>
      <c r="K108" s="53"/>
    </row>
    <row r="109" spans="1:11" s="33" customFormat="1" ht="18.75" customHeight="1" x14ac:dyDescent="0.2">
      <c r="A109" s="330" t="s">
        <v>65</v>
      </c>
      <c r="B109" s="331"/>
      <c r="C109" s="329" t="s">
        <v>66</v>
      </c>
      <c r="D109" s="329"/>
      <c r="E109" s="329"/>
      <c r="K109" s="53"/>
    </row>
    <row r="110" spans="1:11" s="33" customFormat="1" ht="11.25" customHeight="1" x14ac:dyDescent="0.2">
      <c r="A110" s="134"/>
      <c r="B110" s="45"/>
      <c r="C110" s="183"/>
      <c r="D110" s="183"/>
      <c r="E110" s="183"/>
      <c r="K110" s="53"/>
    </row>
    <row r="111" spans="1:11" s="3" customFormat="1" ht="11.25" customHeight="1" x14ac:dyDescent="0.2">
      <c r="A111" s="29" t="s">
        <v>67</v>
      </c>
      <c r="D111" s="184">
        <f>$C$36</f>
        <v>118.11023622047244</v>
      </c>
      <c r="E111" s="70" t="s">
        <v>68</v>
      </c>
      <c r="F111" s="75"/>
      <c r="G111" s="33"/>
      <c r="K111" s="6"/>
    </row>
    <row r="112" spans="1:11" s="3" customFormat="1" ht="11.25" customHeight="1" x14ac:dyDescent="0.2">
      <c r="A112" s="29" t="s">
        <v>69</v>
      </c>
      <c r="D112" s="184">
        <v>3674288</v>
      </c>
      <c r="E112" s="70" t="s">
        <v>70</v>
      </c>
      <c r="F112" s="77"/>
      <c r="G112" s="33"/>
      <c r="H112" s="33"/>
      <c r="I112" s="222"/>
      <c r="K112" s="6"/>
    </row>
    <row r="113" spans="1:11" s="3" customFormat="1" ht="11.25" customHeight="1" x14ac:dyDescent="0.2">
      <c r="A113" s="29" t="s">
        <v>71</v>
      </c>
      <c r="D113" s="78">
        <f>$E$36</f>
        <v>7.8740157480314972</v>
      </c>
      <c r="E113" s="70" t="s">
        <v>68</v>
      </c>
      <c r="F113" s="79"/>
      <c r="G113" s="33"/>
      <c r="K113" s="6"/>
    </row>
    <row r="114" spans="1:11" s="3" customFormat="1" ht="11.25" customHeight="1" x14ac:dyDescent="0.25">
      <c r="A114" s="80" t="s">
        <v>72</v>
      </c>
      <c r="D114" s="36">
        <v>0.15</v>
      </c>
      <c r="E114" s="130" t="s">
        <v>0</v>
      </c>
      <c r="F114" s="49"/>
      <c r="G114" s="81"/>
      <c r="K114" s="6"/>
    </row>
    <row r="115" spans="1:11" s="3" customFormat="1" ht="11.25" customHeight="1" x14ac:dyDescent="0.2">
      <c r="A115" s="29" t="s">
        <v>73</v>
      </c>
      <c r="D115" s="76">
        <v>135.55000000000001</v>
      </c>
      <c r="E115" s="131" t="s">
        <v>74</v>
      </c>
      <c r="F115" s="77"/>
      <c r="G115" s="7"/>
      <c r="K115" s="6"/>
    </row>
    <row r="116" spans="1:11" s="3" customFormat="1" ht="15" customHeight="1" x14ac:dyDescent="0.3">
      <c r="A116" s="29" t="s">
        <v>75</v>
      </c>
      <c r="D116" s="78">
        <f>(($D$112*$D$113^3)/(12*(1-$D$114^2)*$D$115))^0.25</f>
        <v>32.590507576295451</v>
      </c>
      <c r="E116" s="70" t="s">
        <v>68</v>
      </c>
      <c r="F116" s="75"/>
      <c r="G116" s="33"/>
      <c r="K116" s="6"/>
    </row>
    <row r="117" spans="1:11" s="3" customFormat="1" ht="11.25" customHeight="1" x14ac:dyDescent="0.2">
      <c r="A117" s="29"/>
      <c r="D117" s="83"/>
      <c r="K117" s="6"/>
    </row>
    <row r="118" spans="1:11" s="3" customFormat="1" ht="11.25" customHeight="1" x14ac:dyDescent="0.2">
      <c r="A118" s="29"/>
      <c r="D118" s="83"/>
      <c r="K118" s="6"/>
    </row>
    <row r="119" spans="1:11" s="33" customFormat="1" ht="11.25" customHeight="1" x14ac:dyDescent="0.2">
      <c r="A119" s="54"/>
      <c r="D119" s="323" t="s">
        <v>76</v>
      </c>
      <c r="E119" s="324"/>
      <c r="K119" s="53"/>
    </row>
    <row r="120" spans="1:11" s="33" customFormat="1" ht="16.5" customHeight="1" x14ac:dyDescent="0.3">
      <c r="A120" s="54"/>
      <c r="B120" s="148" t="s">
        <v>77</v>
      </c>
      <c r="C120" s="76">
        <f>$D$111/$D$116</f>
        <v>3.624068632376237</v>
      </c>
      <c r="D120" s="110" t="s">
        <v>78</v>
      </c>
      <c r="E120" s="84">
        <v>0.21</v>
      </c>
      <c r="F120" s="86" t="s">
        <v>79</v>
      </c>
      <c r="G120" s="85">
        <v>6.0000000000000002E-6</v>
      </c>
      <c r="H120" s="36" t="s">
        <v>80</v>
      </c>
      <c r="I120" s="325" t="s">
        <v>81</v>
      </c>
      <c r="J120" s="325"/>
      <c r="K120" s="325"/>
    </row>
    <row r="121" spans="1:11" s="33" customFormat="1" ht="15" customHeight="1" x14ac:dyDescent="0.3">
      <c r="A121" s="54"/>
      <c r="B121" s="148" t="s">
        <v>82</v>
      </c>
      <c r="C121" s="76">
        <f>$D$36/$D$116</f>
        <v>3.4307849719828374</v>
      </c>
      <c r="D121" s="110" t="s">
        <v>83</v>
      </c>
      <c r="E121" s="36">
        <v>0.21</v>
      </c>
      <c r="F121" s="86" t="s">
        <v>84</v>
      </c>
      <c r="G121" s="87">
        <v>9</v>
      </c>
      <c r="H121" s="36" t="s">
        <v>85</v>
      </c>
      <c r="I121" s="325" t="s">
        <v>86</v>
      </c>
      <c r="J121" s="325"/>
      <c r="K121" s="325"/>
    </row>
    <row r="122" spans="1:11" s="33" customFormat="1" ht="11.25" customHeight="1" x14ac:dyDescent="0.2">
      <c r="A122" s="54"/>
      <c r="K122" s="53"/>
    </row>
    <row r="123" spans="1:11" s="33" customFormat="1" ht="18" customHeight="1" x14ac:dyDescent="0.25">
      <c r="A123" s="88"/>
      <c r="B123" s="89"/>
      <c r="C123" s="90"/>
      <c r="D123" s="91" t="s">
        <v>87</v>
      </c>
      <c r="E123" s="92">
        <f>((($D$112*$G$120*$G$121)/(2*(1-$D$114^2)))*($E$120+($D$114*$E$121)))*$E$36</f>
        <v>192.98946697545162</v>
      </c>
      <c r="F123" s="129" t="s">
        <v>88</v>
      </c>
      <c r="K123" s="53"/>
    </row>
    <row r="124" spans="1:11" s="33" customFormat="1" ht="11.25" customHeight="1" x14ac:dyDescent="0.2">
      <c r="A124" s="93"/>
      <c r="B124" s="49"/>
      <c r="D124" s="94"/>
      <c r="E124" s="95"/>
      <c r="F124" s="66"/>
      <c r="K124" s="53"/>
    </row>
    <row r="125" spans="1:11" s="33" customFormat="1" ht="18" customHeight="1" x14ac:dyDescent="0.25">
      <c r="A125" s="88"/>
      <c r="B125" s="89"/>
      <c r="C125" s="90"/>
      <c r="D125" s="91" t="s">
        <v>89</v>
      </c>
      <c r="E125" s="92">
        <f>((($D$112*$G$120*$G$121)/(2*(1-$D$114^2)))*($E$121+($D$114*$E$120)))*$E$36</f>
        <v>192.98946697545162</v>
      </c>
      <c r="F125" s="129" t="s">
        <v>88</v>
      </c>
      <c r="K125" s="53"/>
    </row>
    <row r="126" spans="1:11" s="33" customFormat="1" ht="11.25" customHeight="1" x14ac:dyDescent="0.2">
      <c r="A126" s="93"/>
      <c r="B126" s="49"/>
      <c r="D126" s="94"/>
      <c r="E126" s="95"/>
      <c r="F126" s="66"/>
      <c r="K126" s="53"/>
    </row>
    <row r="127" spans="1:11" s="33" customFormat="1" ht="18" customHeight="1" x14ac:dyDescent="0.2">
      <c r="A127" s="88"/>
      <c r="B127" s="89"/>
      <c r="D127" s="91" t="s">
        <v>90</v>
      </c>
      <c r="E127" s="92">
        <f>($E$120*$D$112*$G$120*$G$121/2)*$E$36</f>
        <v>164.0410469291339</v>
      </c>
      <c r="F127" s="129" t="s">
        <v>88</v>
      </c>
      <c r="K127" s="53"/>
    </row>
    <row r="128" spans="1:11" s="33" customFormat="1" ht="11.25" customHeight="1" x14ac:dyDescent="0.2">
      <c r="A128" s="54"/>
      <c r="D128" s="49"/>
      <c r="E128" s="96"/>
      <c r="F128" s="66"/>
      <c r="K128" s="53"/>
    </row>
    <row r="129" spans="1:11" s="33" customFormat="1" ht="18" customHeight="1" x14ac:dyDescent="0.2">
      <c r="A129" s="54"/>
      <c r="D129" s="91" t="s">
        <v>90</v>
      </c>
      <c r="E129" s="92">
        <f>($E$121*$D$112*$G$120*$G$121/2)*$E$36</f>
        <v>164.0410469291339</v>
      </c>
      <c r="F129" s="129" t="s">
        <v>88</v>
      </c>
      <c r="K129" s="53"/>
    </row>
    <row r="130" spans="1:11" s="33" customFormat="1" ht="11.25" customHeight="1" x14ac:dyDescent="0.2">
      <c r="A130" s="54"/>
      <c r="K130" s="53"/>
    </row>
    <row r="131" spans="1:11" s="33" customFormat="1" ht="11.25" customHeight="1" x14ac:dyDescent="0.2">
      <c r="A131" s="54"/>
      <c r="K131" s="53"/>
    </row>
    <row r="132" spans="1:11" ht="11.25" customHeight="1" x14ac:dyDescent="0.25">
      <c r="A132" s="52" t="s">
        <v>91</v>
      </c>
      <c r="K132" s="1"/>
    </row>
    <row r="133" spans="1:11" ht="11.25" customHeight="1" x14ac:dyDescent="0.25">
      <c r="A133" s="52"/>
      <c r="K133" s="1"/>
    </row>
    <row r="134" spans="1:11" ht="11.25" customHeight="1" x14ac:dyDescent="0.25">
      <c r="A134" s="52"/>
      <c r="K134" s="1"/>
    </row>
    <row r="135" spans="1:11" ht="21.75" x14ac:dyDescent="0.25">
      <c r="A135" s="100"/>
      <c r="B135" s="347" t="s">
        <v>92</v>
      </c>
      <c r="C135" s="347"/>
      <c r="D135" s="347"/>
      <c r="E135" s="347"/>
      <c r="F135" s="55" t="s">
        <v>93</v>
      </c>
      <c r="K135" s="1"/>
    </row>
    <row r="136" spans="1:11" s="3" customFormat="1" ht="11.25" customHeight="1" x14ac:dyDescent="0.2">
      <c r="A136" s="29"/>
      <c r="E136" s="4"/>
      <c r="K136" s="6"/>
    </row>
    <row r="137" spans="1:11" s="3" customFormat="1" ht="21.75" x14ac:dyDescent="0.2">
      <c r="A137" s="82"/>
      <c r="B137" s="347" t="s">
        <v>94</v>
      </c>
      <c r="C137" s="347"/>
      <c r="D137" s="347"/>
      <c r="E137" s="347"/>
      <c r="F137" s="55" t="s">
        <v>95</v>
      </c>
      <c r="K137" s="6"/>
    </row>
    <row r="138" spans="1:11" s="3" customFormat="1" ht="11.25" customHeight="1" x14ac:dyDescent="0.2">
      <c r="A138" s="29"/>
      <c r="K138" s="6"/>
    </row>
    <row r="139" spans="1:11" s="3" customFormat="1" ht="15" customHeight="1" x14ac:dyDescent="0.2">
      <c r="A139" s="189"/>
      <c r="B139" s="153"/>
      <c r="C139" s="121" t="s">
        <v>96</v>
      </c>
      <c r="D139" s="342" t="s">
        <v>97</v>
      </c>
      <c r="E139" s="343"/>
      <c r="F139" s="343"/>
      <c r="G139" s="343"/>
      <c r="H139" s="343"/>
      <c r="I139" s="190">
        <f>2.38*($D$148*$D$116)^0.5</f>
        <v>49.770656422121526</v>
      </c>
      <c r="J139" s="159" t="s">
        <v>68</v>
      </c>
      <c r="K139" s="115"/>
    </row>
    <row r="140" spans="1:11" s="3" customFormat="1" ht="35.25" customHeight="1" x14ac:dyDescent="0.2">
      <c r="A140" s="191"/>
      <c r="B140" s="50"/>
      <c r="C140" s="36" t="s">
        <v>98</v>
      </c>
      <c r="D140" s="76">
        <f>K140*2.205</f>
        <v>24255</v>
      </c>
      <c r="E140" s="356" t="s">
        <v>158</v>
      </c>
      <c r="F140" s="357"/>
      <c r="G140" s="357"/>
      <c r="H140" s="357"/>
      <c r="I140" s="358"/>
      <c r="J140" s="101" t="s">
        <v>99</v>
      </c>
      <c r="K140" s="36">
        <f>22*1000/2</f>
        <v>11000</v>
      </c>
    </row>
    <row r="141" spans="1:11" s="3" customFormat="1" ht="11.25" customHeight="1" x14ac:dyDescent="0.2">
      <c r="A141" s="29"/>
      <c r="K141" s="6"/>
    </row>
    <row r="142" spans="1:11" s="3" customFormat="1" ht="11.25" customHeight="1" x14ac:dyDescent="0.2">
      <c r="A142" s="29"/>
      <c r="B142" s="49"/>
      <c r="C142" s="102" t="s">
        <v>100</v>
      </c>
      <c r="D142" s="36">
        <v>80</v>
      </c>
      <c r="E142" s="4" t="s">
        <v>101</v>
      </c>
      <c r="K142" s="6"/>
    </row>
    <row r="143" spans="1:11" s="3" customFormat="1" ht="11.25" customHeight="1" x14ac:dyDescent="0.2">
      <c r="A143" s="29"/>
      <c r="K143" s="6"/>
    </row>
    <row r="144" spans="1:11" s="3" customFormat="1" ht="11.25" customHeight="1" x14ac:dyDescent="0.2">
      <c r="A144" s="29"/>
      <c r="C144" s="103" t="s">
        <v>102</v>
      </c>
      <c r="D144" s="84">
        <v>12.76</v>
      </c>
      <c r="E144" s="4" t="s">
        <v>103</v>
      </c>
      <c r="K144" s="6"/>
    </row>
    <row r="145" spans="1:12" s="3" customFormat="1" ht="11.25" customHeight="1" x14ac:dyDescent="0.2">
      <c r="A145" s="29"/>
      <c r="C145" s="104"/>
      <c r="D145" s="75"/>
      <c r="E145" s="4"/>
      <c r="K145" s="6"/>
    </row>
    <row r="146" spans="1:12" s="3" customFormat="1" ht="11.25" customHeight="1" x14ac:dyDescent="0.2">
      <c r="A146" s="29"/>
      <c r="C146" s="359" t="s">
        <v>104</v>
      </c>
      <c r="D146" s="359"/>
      <c r="E146" s="359"/>
      <c r="F146" s="359"/>
      <c r="G146" s="4" t="s">
        <v>105</v>
      </c>
      <c r="K146" s="6"/>
    </row>
    <row r="147" spans="1:12" s="3" customFormat="1" ht="11.25" customHeight="1" x14ac:dyDescent="0.2">
      <c r="A147" s="29"/>
      <c r="K147" s="6"/>
    </row>
    <row r="148" spans="1:12" s="3" customFormat="1" ht="11.25" customHeight="1" x14ac:dyDescent="0.2">
      <c r="A148" s="93"/>
      <c r="B148" s="44"/>
      <c r="C148" s="36" t="s">
        <v>1</v>
      </c>
      <c r="D148" s="105">
        <f>((0.8521*D140/(D142*3.1416))+(D144/3.1416)*(D140/(0.5227*D142))^0.5)^0.5</f>
        <v>13.418429811636141</v>
      </c>
      <c r="E148" s="69" t="s">
        <v>68</v>
      </c>
      <c r="K148" s="6"/>
      <c r="L148" s="4"/>
    </row>
    <row r="149" spans="1:12" s="3" customFormat="1" ht="11.25" customHeight="1" x14ac:dyDescent="0.2">
      <c r="A149" s="29"/>
      <c r="E149" s="66"/>
      <c r="K149" s="6"/>
    </row>
    <row r="150" spans="1:12" ht="18" customHeight="1" x14ac:dyDescent="0.25">
      <c r="A150" s="88"/>
      <c r="B150" s="89"/>
      <c r="C150" s="91" t="s">
        <v>106</v>
      </c>
      <c r="D150" s="106">
        <f>(3*$D$140/$E$36^2)*(1-($D$148*(2^0.5)/$D$116)^0.6)</f>
        <v>325.21758328551306</v>
      </c>
      <c r="E150" s="129" t="s">
        <v>88</v>
      </c>
      <c r="G150" s="107"/>
      <c r="H150" s="107"/>
      <c r="I150" s="107"/>
      <c r="K150" s="1"/>
    </row>
    <row r="151" spans="1:12" s="3" customFormat="1" ht="11.25" customHeight="1" x14ac:dyDescent="0.2">
      <c r="A151" s="54"/>
      <c r="B151" s="33"/>
      <c r="C151" s="33"/>
      <c r="D151" s="33"/>
      <c r="E151" s="63"/>
      <c r="K151" s="6"/>
    </row>
    <row r="152" spans="1:12" s="3" customFormat="1" ht="18" customHeight="1" x14ac:dyDescent="0.2">
      <c r="A152" s="93"/>
      <c r="B152" s="49"/>
      <c r="C152" s="91" t="s">
        <v>107</v>
      </c>
      <c r="D152" s="108">
        <f>($D$140/($D$115*$D$116^2))*(1.1-(0.88*($D$148*(2^0.5)/$D$116)))</f>
        <v>9.8992447025415709E-2</v>
      </c>
      <c r="E152" s="69" t="s">
        <v>68</v>
      </c>
      <c r="K152" s="6"/>
    </row>
    <row r="153" spans="1:12" s="3" customFormat="1" ht="11.25" customHeight="1" x14ac:dyDescent="0.2">
      <c r="A153" s="29"/>
      <c r="K153" s="6"/>
    </row>
    <row r="154" spans="1:12" s="3" customFormat="1" ht="11.25" customHeight="1" x14ac:dyDescent="0.2">
      <c r="A154" s="29"/>
      <c r="K154" s="6"/>
    </row>
    <row r="155" spans="1:12" ht="11.25" customHeight="1" x14ac:dyDescent="0.25">
      <c r="A155" s="52" t="s">
        <v>108</v>
      </c>
      <c r="K155" s="1"/>
    </row>
    <row r="156" spans="1:12" ht="11.25" customHeight="1" x14ac:dyDescent="0.25">
      <c r="A156" s="52"/>
      <c r="K156" s="1"/>
    </row>
    <row r="157" spans="1:12" ht="11.25" customHeight="1" x14ac:dyDescent="0.25">
      <c r="A157" s="70"/>
      <c r="K157" s="1"/>
    </row>
    <row r="158" spans="1:12" s="3" customFormat="1" ht="18" customHeight="1" x14ac:dyDescent="0.25">
      <c r="A158" s="100"/>
      <c r="B158" s="109"/>
      <c r="C158" s="348" t="s">
        <v>109</v>
      </c>
      <c r="D158" s="349"/>
      <c r="E158" s="349"/>
      <c r="F158" s="350"/>
      <c r="G158" s="47" t="s">
        <v>110</v>
      </c>
      <c r="K158" s="6"/>
    </row>
    <row r="159" spans="1:12" s="3" customFormat="1" ht="11.25" customHeight="1" x14ac:dyDescent="0.2">
      <c r="A159" s="29"/>
      <c r="K159" s="6"/>
    </row>
    <row r="160" spans="1:12" s="3" customFormat="1" ht="21.75" x14ac:dyDescent="0.35">
      <c r="A160" s="82"/>
      <c r="B160" s="107"/>
      <c r="C160" s="351" t="s">
        <v>111</v>
      </c>
      <c r="D160" s="352"/>
      <c r="E160" s="352"/>
      <c r="F160" s="353"/>
      <c r="G160" s="55" t="s">
        <v>112</v>
      </c>
      <c r="K160" s="6"/>
    </row>
    <row r="161" spans="1:11" s="3" customFormat="1" ht="11.25" customHeight="1" x14ac:dyDescent="0.2">
      <c r="A161" s="29"/>
      <c r="K161" s="6"/>
    </row>
    <row r="162" spans="1:11" s="3" customFormat="1" ht="11.25" customHeight="1" x14ac:dyDescent="0.2">
      <c r="A162" s="93"/>
      <c r="B162" s="49"/>
      <c r="C162" s="122" t="s">
        <v>113</v>
      </c>
      <c r="D162" s="122" t="s">
        <v>114</v>
      </c>
      <c r="E162" s="34">
        <f>0.724*$D$113</f>
        <v>5.7007874015748037</v>
      </c>
      <c r="F162" s="69" t="s">
        <v>68</v>
      </c>
      <c r="G162" s="110" t="s">
        <v>115</v>
      </c>
      <c r="H162" s="111" t="s">
        <v>116</v>
      </c>
      <c r="K162" s="6"/>
    </row>
    <row r="163" spans="1:11" s="3" customFormat="1" ht="15" customHeight="1" x14ac:dyDescent="0.2">
      <c r="A163" s="82"/>
      <c r="B163" s="354" t="s">
        <v>117</v>
      </c>
      <c r="C163" s="354"/>
      <c r="D163" s="354"/>
      <c r="E163" s="34">
        <f>(((1.6*$D$148^2)+($D$113^2))^0.5)-(0.675*$D$113)</f>
        <v>13.395649669476695</v>
      </c>
      <c r="F163" s="69" t="s">
        <v>68</v>
      </c>
      <c r="K163" s="6"/>
    </row>
    <row r="164" spans="1:11" s="3" customFormat="1" ht="11.25" customHeight="1" x14ac:dyDescent="0.2">
      <c r="A164" s="29"/>
      <c r="K164" s="6"/>
    </row>
    <row r="165" spans="1:11" s="3" customFormat="1" ht="18" customHeight="1" x14ac:dyDescent="0.35">
      <c r="A165" s="29"/>
      <c r="C165" s="147" t="s">
        <v>118</v>
      </c>
      <c r="D165" s="106">
        <f>(0.316*$D$140/$E$36^2)*(4*LOG($D$116/$E$163)+1.069)</f>
        <v>323.08728399819051</v>
      </c>
      <c r="E165" s="93" t="s">
        <v>88</v>
      </c>
      <c r="K165" s="6"/>
    </row>
    <row r="166" spans="1:11" s="3" customFormat="1" ht="11.25" customHeight="1" x14ac:dyDescent="0.2">
      <c r="A166" s="29"/>
      <c r="C166" s="33"/>
      <c r="D166" s="112"/>
      <c r="E166" s="4"/>
      <c r="K166" s="6"/>
    </row>
    <row r="167" spans="1:11" s="3" customFormat="1" ht="18" customHeight="1" x14ac:dyDescent="0.35">
      <c r="A167" s="29"/>
      <c r="C167" s="147" t="s">
        <v>119</v>
      </c>
      <c r="D167" s="146">
        <f>($D$140/(8*$D$115*$D$116^2))*(1+((2/3.1416)*(LN($D$148/(2*$D$116))-0.673))*($D$148/$D$116)^2)</f>
        <v>1.5937128337967087E-2</v>
      </c>
      <c r="E167" s="49" t="s">
        <v>68</v>
      </c>
      <c r="K167" s="6"/>
    </row>
    <row r="168" spans="1:11" s="3" customFormat="1" ht="11.25" customHeight="1" x14ac:dyDescent="0.2">
      <c r="A168" s="29"/>
      <c r="K168" s="6"/>
    </row>
    <row r="169" spans="1:11" s="3" customFormat="1" ht="11.25" customHeight="1" x14ac:dyDescent="0.2">
      <c r="A169" s="29"/>
      <c r="K169" s="6"/>
    </row>
    <row r="170" spans="1:11" s="3" customFormat="1" ht="11.25" customHeight="1" x14ac:dyDescent="0.2">
      <c r="A170" s="52" t="s">
        <v>120</v>
      </c>
      <c r="K170" s="6"/>
    </row>
    <row r="171" spans="1:11" s="3" customFormat="1" ht="11.25" customHeight="1" x14ac:dyDescent="0.2">
      <c r="A171" s="52"/>
      <c r="K171" s="6"/>
    </row>
    <row r="172" spans="1:11" s="3" customFormat="1" ht="11.25" customHeight="1" x14ac:dyDescent="0.2">
      <c r="A172" s="52"/>
      <c r="K172" s="6"/>
    </row>
    <row r="173" spans="1:11" s="3" customFormat="1" ht="18" customHeight="1" x14ac:dyDescent="0.35">
      <c r="A173" s="29"/>
      <c r="C173" s="340" t="s">
        <v>121</v>
      </c>
      <c r="D173" s="355"/>
      <c r="E173" s="355"/>
      <c r="F173" s="341"/>
      <c r="G173" s="47" t="s">
        <v>122</v>
      </c>
      <c r="K173" s="6"/>
    </row>
    <row r="174" spans="1:11" s="3" customFormat="1" ht="11.25" customHeight="1" x14ac:dyDescent="0.2">
      <c r="A174" s="29"/>
      <c r="K174" s="6"/>
    </row>
    <row r="175" spans="1:11" s="3" customFormat="1" ht="18" customHeight="1" x14ac:dyDescent="0.35">
      <c r="A175" s="29"/>
      <c r="C175" s="337" t="s">
        <v>123</v>
      </c>
      <c r="D175" s="338"/>
      <c r="E175" s="338"/>
      <c r="F175" s="339"/>
      <c r="G175" s="55" t="s">
        <v>112</v>
      </c>
      <c r="K175" s="6"/>
    </row>
    <row r="176" spans="1:11" s="3" customFormat="1" ht="11.25" customHeight="1" x14ac:dyDescent="0.2">
      <c r="A176" s="29"/>
      <c r="K176" s="6"/>
    </row>
    <row r="177" spans="1:11" s="3" customFormat="1" ht="18" customHeight="1" x14ac:dyDescent="0.35">
      <c r="A177" s="29"/>
      <c r="C177" s="147" t="s">
        <v>124</v>
      </c>
      <c r="D177" s="106">
        <f>(0.572*$D$140/$E$36^2)*(4*LOG($D$116/$E$163)-0.359)</f>
        <v>265.28319638296165</v>
      </c>
      <c r="E177" s="93" t="s">
        <v>88</v>
      </c>
      <c r="K177" s="6"/>
    </row>
    <row r="178" spans="1:11" s="3" customFormat="1" ht="11.25" customHeight="1" x14ac:dyDescent="0.2">
      <c r="A178" s="29"/>
      <c r="C178" s="33"/>
      <c r="D178" s="96"/>
      <c r="E178" s="4"/>
      <c r="K178" s="6"/>
    </row>
    <row r="179" spans="1:11" s="3" customFormat="1" ht="18" customHeight="1" x14ac:dyDescent="0.35">
      <c r="A179" s="29"/>
      <c r="C179" s="147" t="s">
        <v>125</v>
      </c>
      <c r="D179" s="108">
        <f>(0.431*$D$140/($D$115*$D$116^2))*(1-(0.82*($D$148/($D$116))))</f>
        <v>4.8095660677558855E-2</v>
      </c>
      <c r="E179" s="49" t="s">
        <v>68</v>
      </c>
      <c r="K179" s="6"/>
    </row>
    <row r="180" spans="1:11" s="3" customFormat="1" ht="11.25" customHeight="1" x14ac:dyDescent="0.2">
      <c r="A180" s="29"/>
      <c r="D180" s="116"/>
      <c r="K180" s="6"/>
    </row>
    <row r="181" spans="1:11" s="3" customFormat="1" ht="11.25" customHeight="1" x14ac:dyDescent="0.2">
      <c r="A181" s="113"/>
      <c r="B181" s="114"/>
      <c r="C181" s="114"/>
      <c r="D181" s="192"/>
      <c r="E181" s="114"/>
      <c r="F181" s="114"/>
      <c r="G181" s="114"/>
      <c r="H181" s="114"/>
      <c r="I181" s="114"/>
      <c r="J181" s="114"/>
      <c r="K181" s="115"/>
    </row>
    <row r="182" spans="1:11" s="3" customFormat="1" ht="11.25" customHeight="1" x14ac:dyDescent="0.2">
      <c r="A182" s="155" t="s">
        <v>126</v>
      </c>
      <c r="B182" s="156"/>
      <c r="C182" s="156"/>
      <c r="D182" s="156"/>
      <c r="E182" s="156"/>
      <c r="F182" s="156"/>
      <c r="G182" s="156"/>
      <c r="H182" s="156"/>
      <c r="I182" s="156"/>
      <c r="J182" s="156"/>
      <c r="K182" s="160"/>
    </row>
    <row r="183" spans="1:11" s="3" customFormat="1" ht="11.25" customHeight="1" x14ac:dyDescent="0.2">
      <c r="A183" s="28"/>
      <c r="K183" s="6"/>
    </row>
    <row r="184" spans="1:11" s="3" customFormat="1" ht="11.25" customHeight="1" x14ac:dyDescent="0.2">
      <c r="A184" s="28"/>
      <c r="K184" s="6"/>
    </row>
    <row r="185" spans="1:11" s="3" customFormat="1" ht="21" customHeight="1" x14ac:dyDescent="0.35">
      <c r="A185" s="100"/>
      <c r="B185" s="109"/>
      <c r="C185" s="109"/>
      <c r="D185" s="340" t="s">
        <v>127</v>
      </c>
      <c r="E185" s="341"/>
      <c r="F185" s="51" t="s">
        <v>128</v>
      </c>
      <c r="I185" s="340" t="s">
        <v>129</v>
      </c>
      <c r="J185" s="341"/>
      <c r="K185" s="185" t="s">
        <v>130</v>
      </c>
    </row>
    <row r="186" spans="1:11" s="3" customFormat="1" ht="11.25" customHeight="1" x14ac:dyDescent="0.2">
      <c r="A186" s="100"/>
      <c r="B186" s="109"/>
      <c r="C186" s="109"/>
      <c r="K186" s="6"/>
    </row>
    <row r="187" spans="1:11" s="3" customFormat="1" ht="18" customHeight="1" x14ac:dyDescent="0.35">
      <c r="A187" s="100"/>
      <c r="B187" s="109"/>
      <c r="C187" s="109"/>
      <c r="D187" s="72" t="s">
        <v>131</v>
      </c>
      <c r="E187" s="84">
        <f>2400*0.0361273/1000</f>
        <v>8.6705520000000008E-2</v>
      </c>
      <c r="F187" s="47" t="s">
        <v>132</v>
      </c>
      <c r="I187" s="133" t="s">
        <v>133</v>
      </c>
      <c r="J187" s="170">
        <f>(E187*D113*E188*E189)/(2*E52)</f>
        <v>8.3996140492281017E-5</v>
      </c>
      <c r="K187" s="6" t="s">
        <v>134</v>
      </c>
    </row>
    <row r="188" spans="1:11" s="3" customFormat="1" ht="11.25" customHeight="1" x14ac:dyDescent="0.2">
      <c r="A188" s="100"/>
      <c r="B188" s="109"/>
      <c r="C188" s="109"/>
      <c r="D188" s="36" t="s">
        <v>135</v>
      </c>
      <c r="E188" s="84">
        <f>C36/12</f>
        <v>9.8425196850393704</v>
      </c>
      <c r="F188" s="4" t="s">
        <v>136</v>
      </c>
      <c r="K188" s="6"/>
    </row>
    <row r="189" spans="1:11" s="3" customFormat="1" ht="15" customHeight="1" x14ac:dyDescent="0.3">
      <c r="A189" s="100"/>
      <c r="B189" s="109"/>
      <c r="C189" s="109"/>
      <c r="D189" s="180" t="s">
        <v>137</v>
      </c>
      <c r="E189" s="122">
        <v>1.5</v>
      </c>
      <c r="F189" s="47" t="s">
        <v>138</v>
      </c>
      <c r="K189" s="6"/>
    </row>
    <row r="190" spans="1:11" s="3" customFormat="1" ht="18" customHeight="1" x14ac:dyDescent="0.35">
      <c r="A190" s="100"/>
      <c r="B190" s="109"/>
      <c r="C190" s="109"/>
      <c r="D190" s="147" t="s">
        <v>139</v>
      </c>
      <c r="E190" s="92">
        <f>$E$187*$E$188*$E$189/2</f>
        <v>0.64005059055118119</v>
      </c>
      <c r="F190" s="69" t="s">
        <v>88</v>
      </c>
      <c r="K190" s="6"/>
    </row>
    <row r="191" spans="1:11" s="3" customFormat="1" ht="11.25" customHeight="1" x14ac:dyDescent="0.25">
      <c r="A191" s="100"/>
      <c r="B191" s="109"/>
      <c r="C191" s="109"/>
      <c r="D191" s="181"/>
      <c r="E191" s="182"/>
      <c r="F191" s="69"/>
      <c r="K191" s="6"/>
    </row>
    <row r="192" spans="1:11" s="3" customFormat="1" ht="11.25" customHeight="1" x14ac:dyDescent="0.25">
      <c r="A192" s="100"/>
      <c r="B192" s="109"/>
      <c r="C192" s="109"/>
      <c r="D192" s="181"/>
      <c r="E192" s="182"/>
      <c r="F192" s="69"/>
      <c r="K192" s="6"/>
    </row>
    <row r="193" spans="1:11" s="3" customFormat="1" ht="11.25" customHeight="1" x14ac:dyDescent="0.2">
      <c r="A193" s="28" t="s">
        <v>140</v>
      </c>
      <c r="K193" s="6"/>
    </row>
    <row r="194" spans="1:11" s="3" customFormat="1" ht="11.25" customHeight="1" x14ac:dyDescent="0.2">
      <c r="A194" s="28"/>
      <c r="K194" s="6"/>
    </row>
    <row r="195" spans="1:11" s="3" customFormat="1" ht="11.25" customHeight="1" x14ac:dyDescent="0.2">
      <c r="A195" s="29"/>
      <c r="K195" s="6"/>
    </row>
    <row r="196" spans="1:11" s="3" customFormat="1" ht="56.25" customHeight="1" x14ac:dyDescent="0.2">
      <c r="A196" s="29"/>
      <c r="B196" s="344" t="s">
        <v>141</v>
      </c>
      <c r="C196" s="344"/>
      <c r="D196" s="151" t="s">
        <v>142</v>
      </c>
      <c r="E196" s="151" t="s">
        <v>143</v>
      </c>
      <c r="F196" s="151" t="s">
        <v>144</v>
      </c>
      <c r="G196" s="167"/>
      <c r="K196" s="6"/>
    </row>
    <row r="197" spans="1:11" s="3" customFormat="1" ht="13.5" customHeight="1" x14ac:dyDescent="0.2">
      <c r="A197" s="29"/>
      <c r="B197" s="354" t="s">
        <v>145</v>
      </c>
      <c r="C197" s="354"/>
      <c r="D197" s="149">
        <f>$E$123</f>
        <v>192.98946697545162</v>
      </c>
      <c r="E197" s="334">
        <v>595</v>
      </c>
      <c r="F197" s="149">
        <f>($D$197/$E$197)*100</f>
        <v>32.435204533689351</v>
      </c>
      <c r="G197" s="5"/>
      <c r="K197" s="6"/>
    </row>
    <row r="198" spans="1:11" s="3" customFormat="1" ht="13.5" customHeight="1" x14ac:dyDescent="0.2">
      <c r="A198" s="29"/>
      <c r="B198" s="354" t="s">
        <v>146</v>
      </c>
      <c r="C198" s="354"/>
      <c r="D198" s="149">
        <f>$E$125</f>
        <v>192.98946697545162</v>
      </c>
      <c r="E198" s="360"/>
      <c r="F198" s="149">
        <f>($D$198/$E$197)*100</f>
        <v>32.435204533689351</v>
      </c>
      <c r="G198" s="5"/>
      <c r="K198" s="6"/>
    </row>
    <row r="199" spans="1:11" s="3" customFormat="1" ht="13.5" customHeight="1" x14ac:dyDescent="0.2">
      <c r="A199" s="29"/>
      <c r="B199" s="354" t="s">
        <v>147</v>
      </c>
      <c r="C199" s="354"/>
      <c r="D199" s="149">
        <f>$E$127</f>
        <v>164.0410469291339</v>
      </c>
      <c r="E199" s="360"/>
      <c r="F199" s="149">
        <f>($D$199/$E$197)*100</f>
        <v>27.569923853635949</v>
      </c>
      <c r="G199" s="5"/>
      <c r="K199" s="6"/>
    </row>
    <row r="200" spans="1:11" s="3" customFormat="1" ht="13.5" customHeight="1" x14ac:dyDescent="0.2">
      <c r="A200" s="29"/>
      <c r="B200" s="354" t="s">
        <v>148</v>
      </c>
      <c r="C200" s="354"/>
      <c r="D200" s="149">
        <f>$E$129</f>
        <v>164.0410469291339</v>
      </c>
      <c r="E200" s="361"/>
      <c r="F200" s="149">
        <f>($D$200/$E$197)*100</f>
        <v>27.569923853635949</v>
      </c>
      <c r="G200" s="5"/>
      <c r="K200" s="6"/>
    </row>
    <row r="201" spans="1:11" s="3" customFormat="1" ht="11.25" customHeight="1" x14ac:dyDescent="0.2">
      <c r="A201" s="29"/>
      <c r="K201" s="6"/>
    </row>
    <row r="202" spans="1:11" s="3" customFormat="1" ht="49.5" customHeight="1" x14ac:dyDescent="0.2">
      <c r="A202" s="29"/>
      <c r="B202" s="107"/>
      <c r="C202" s="151" t="s">
        <v>141</v>
      </c>
      <c r="D202" s="151" t="s">
        <v>149</v>
      </c>
      <c r="E202" s="151" t="s">
        <v>143</v>
      </c>
      <c r="F202" s="151" t="s">
        <v>144</v>
      </c>
      <c r="G202" s="167"/>
      <c r="H202" s="117"/>
      <c r="K202" s="6"/>
    </row>
    <row r="203" spans="1:11" s="3" customFormat="1" ht="11.25" customHeight="1" x14ac:dyDescent="0.2">
      <c r="A203" s="29"/>
      <c r="C203" s="150" t="s">
        <v>150</v>
      </c>
      <c r="D203" s="149">
        <f>$D$150</f>
        <v>325.21758328551306</v>
      </c>
      <c r="E203" s="334">
        <v>595</v>
      </c>
      <c r="F203" s="149">
        <f>($D$203/$E$203)*100</f>
        <v>54.658417358909759</v>
      </c>
      <c r="G203" s="168"/>
      <c r="K203" s="6"/>
    </row>
    <row r="204" spans="1:11" s="3" customFormat="1" ht="11.25" customHeight="1" x14ac:dyDescent="0.2">
      <c r="A204" s="29"/>
      <c r="C204" s="150" t="s">
        <v>151</v>
      </c>
      <c r="D204" s="149">
        <f>$D$165</f>
        <v>323.08728399819051</v>
      </c>
      <c r="E204" s="335"/>
      <c r="F204" s="149">
        <f>($D$204/$E$203)*100</f>
        <v>54.300383865242111</v>
      </c>
      <c r="G204" s="168"/>
      <c r="K204" s="6"/>
    </row>
    <row r="205" spans="1:11" s="3" customFormat="1" ht="11.25" customHeight="1" x14ac:dyDescent="0.2">
      <c r="A205" s="29"/>
      <c r="C205" s="150" t="s">
        <v>152</v>
      </c>
      <c r="D205" s="149">
        <f>$D$177</f>
        <v>265.28319638296165</v>
      </c>
      <c r="E205" s="336"/>
      <c r="F205" s="149">
        <f>($D$205/$E$203)*100</f>
        <v>44.585411156800276</v>
      </c>
      <c r="G205" s="168"/>
      <c r="K205" s="6"/>
    </row>
    <row r="206" spans="1:11" s="3" customFormat="1" ht="11.25" customHeight="1" x14ac:dyDescent="0.2">
      <c r="A206" s="29"/>
      <c r="K206" s="6"/>
    </row>
    <row r="207" spans="1:11" s="3" customFormat="1" ht="11.25" customHeight="1" x14ac:dyDescent="0.2">
      <c r="A207" s="29"/>
      <c r="K207" s="6"/>
    </row>
    <row r="208" spans="1:11" s="3" customFormat="1" ht="11.25" customHeight="1" x14ac:dyDescent="0.2">
      <c r="A208" s="28" t="s">
        <v>153</v>
      </c>
      <c r="K208" s="6"/>
    </row>
    <row r="209" spans="1:11" s="3" customFormat="1" ht="11.25" customHeight="1" x14ac:dyDescent="0.2">
      <c r="A209" s="28"/>
      <c r="K209" s="6"/>
    </row>
    <row r="210" spans="1:11" s="3" customFormat="1" ht="11.25" customHeight="1" x14ac:dyDescent="0.2">
      <c r="A210" s="29"/>
      <c r="K210" s="6"/>
    </row>
    <row r="211" spans="1:11" s="3" customFormat="1" ht="23.25" customHeight="1" x14ac:dyDescent="0.2">
      <c r="A211" s="29"/>
      <c r="B211" s="107"/>
      <c r="C211" s="152" t="s">
        <v>141</v>
      </c>
      <c r="D211" s="152" t="s">
        <v>154</v>
      </c>
      <c r="E211" s="152" t="s">
        <v>155</v>
      </c>
      <c r="F211" s="169"/>
      <c r="G211" s="118"/>
      <c r="H211" s="117"/>
      <c r="K211" s="6"/>
    </row>
    <row r="212" spans="1:11" s="3" customFormat="1" ht="11.25" customHeight="1" x14ac:dyDescent="0.2">
      <c r="A212" s="29"/>
      <c r="C212" s="31" t="s">
        <v>150</v>
      </c>
      <c r="D212" s="119">
        <f>$D$152</f>
        <v>9.8992447025415709E-2</v>
      </c>
      <c r="E212" s="120">
        <f>$D$212*25.4</f>
        <v>2.514408154445559</v>
      </c>
      <c r="F212" s="117"/>
      <c r="K212" s="6"/>
    </row>
    <row r="213" spans="1:11" s="3" customFormat="1" ht="11.25" customHeight="1" x14ac:dyDescent="0.2">
      <c r="A213" s="29"/>
      <c r="C213" s="31" t="s">
        <v>151</v>
      </c>
      <c r="D213" s="119">
        <f>$D$167</f>
        <v>1.5937128337967087E-2</v>
      </c>
      <c r="E213" s="120">
        <f>$D$213*25.4</f>
        <v>0.40480305978436398</v>
      </c>
      <c r="F213" s="117"/>
      <c r="K213" s="6"/>
    </row>
    <row r="214" spans="1:11" s="3" customFormat="1" ht="11.25" customHeight="1" x14ac:dyDescent="0.2">
      <c r="A214" s="29"/>
      <c r="C214" s="31" t="s">
        <v>152</v>
      </c>
      <c r="D214" s="119">
        <f>$D$179</f>
        <v>4.8095660677558855E-2</v>
      </c>
      <c r="E214" s="120">
        <f>$D$214*25.4</f>
        <v>1.2216297812099948</v>
      </c>
      <c r="F214" s="117"/>
      <c r="K214" s="6"/>
    </row>
    <row r="215" spans="1:11" s="3" customFormat="1" ht="11.25" customHeight="1" x14ac:dyDescent="0.2">
      <c r="A215" s="29"/>
      <c r="K215" s="6"/>
    </row>
    <row r="216" spans="1:11" s="3" customFormat="1" ht="11.25" customHeight="1" x14ac:dyDescent="0.2">
      <c r="A216" s="29"/>
      <c r="K216" s="6"/>
    </row>
    <row r="217" spans="1:11" s="3" customFormat="1" ht="11.25" customHeight="1" x14ac:dyDescent="0.2">
      <c r="A217" s="29"/>
      <c r="K217" s="6"/>
    </row>
    <row r="218" spans="1:11" s="3" customFormat="1" ht="11.25" customHeight="1" x14ac:dyDescent="0.2">
      <c r="A218" s="29"/>
      <c r="K218" s="6"/>
    </row>
    <row r="219" spans="1:11" s="3" customFormat="1" ht="11.25" customHeight="1" x14ac:dyDescent="0.2">
      <c r="A219" s="29"/>
      <c r="K219" s="6"/>
    </row>
    <row r="220" spans="1:11" s="3" customFormat="1" ht="11.25" customHeight="1" x14ac:dyDescent="0.2">
      <c r="A220" s="113"/>
      <c r="B220" s="114"/>
      <c r="C220" s="114"/>
      <c r="D220" s="114"/>
      <c r="E220" s="114"/>
      <c r="F220" s="114"/>
      <c r="G220" s="114"/>
      <c r="H220" s="114"/>
      <c r="I220" s="114"/>
      <c r="J220" s="114"/>
      <c r="K220" s="115"/>
    </row>
  </sheetData>
  <mergeCells count="47">
    <mergeCell ref="C146:F146"/>
    <mergeCell ref="I185:J185"/>
    <mergeCell ref="B197:C197"/>
    <mergeCell ref="E197:E200"/>
    <mergeCell ref="B198:C198"/>
    <mergeCell ref="B199:C199"/>
    <mergeCell ref="B200:C200"/>
    <mergeCell ref="E203:E205"/>
    <mergeCell ref="C175:F175"/>
    <mergeCell ref="D185:E185"/>
    <mergeCell ref="D12:E12"/>
    <mergeCell ref="D139:H139"/>
    <mergeCell ref="B196:C196"/>
    <mergeCell ref="B103:E103"/>
    <mergeCell ref="B105:E105"/>
    <mergeCell ref="B107:D107"/>
    <mergeCell ref="B135:E135"/>
    <mergeCell ref="B137:E137"/>
    <mergeCell ref="C158:F158"/>
    <mergeCell ref="C160:F160"/>
    <mergeCell ref="B163:D163"/>
    <mergeCell ref="C173:F173"/>
    <mergeCell ref="E140:I140"/>
    <mergeCell ref="D119:E119"/>
    <mergeCell ref="I120:K120"/>
    <mergeCell ref="I121:K121"/>
    <mergeCell ref="A59:C59"/>
    <mergeCell ref="D59:G59"/>
    <mergeCell ref="C109:E109"/>
    <mergeCell ref="A109:B109"/>
    <mergeCell ref="J72:K72"/>
    <mergeCell ref="C19:D19"/>
    <mergeCell ref="G19:H19"/>
    <mergeCell ref="D57:E57"/>
    <mergeCell ref="A58:C58"/>
    <mergeCell ref="I21:K21"/>
    <mergeCell ref="J19:J20"/>
    <mergeCell ref="A54:B54"/>
    <mergeCell ref="G20:H20"/>
    <mergeCell ref="C20:D20"/>
    <mergeCell ref="C21:D21"/>
    <mergeCell ref="A57:C57"/>
    <mergeCell ref="D9:E9"/>
    <mergeCell ref="A1:K1"/>
    <mergeCell ref="D10:E10"/>
    <mergeCell ref="D11:E11"/>
    <mergeCell ref="D13:E13"/>
  </mergeCells>
  <pageMargins left="0.39370078740157483" right="0.39370078740157483" top="0.39370078740157483" bottom="0.39370078740157483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137"/>
  <sheetViews>
    <sheetView tabSelected="1" topLeftCell="U1" workbookViewId="0">
      <selection activeCell="U1" sqref="U1:AB20"/>
    </sheetView>
  </sheetViews>
  <sheetFormatPr baseColWidth="10" defaultColWidth="8.85546875" defaultRowHeight="15" x14ac:dyDescent="0.25"/>
  <cols>
    <col min="1" max="1" width="16.5703125" customWidth="1"/>
    <col min="2" max="2" width="15" customWidth="1"/>
    <col min="3" max="3" width="25.7109375" customWidth="1"/>
    <col min="4" max="4" width="13.85546875" customWidth="1"/>
    <col min="5" max="5" width="14.28515625" customWidth="1"/>
    <col min="6" max="6" width="12.5703125" customWidth="1"/>
    <col min="7" max="7" width="26.28515625" customWidth="1"/>
    <col min="8" max="8" width="12.7109375" customWidth="1"/>
    <col min="9" max="9" width="13.85546875" customWidth="1"/>
    <col min="10" max="10" width="3.28515625" customWidth="1"/>
    <col min="11" max="11" width="2.5703125" customWidth="1"/>
    <col min="12" max="12" width="17.7109375" customWidth="1"/>
    <col min="13" max="13" width="15.42578125" customWidth="1"/>
    <col min="14" max="14" width="20" customWidth="1"/>
    <col min="15" max="15" width="18.28515625" customWidth="1"/>
    <col min="16" max="16" width="11.42578125" customWidth="1"/>
    <col min="17" max="17" width="19" customWidth="1"/>
    <col min="18" max="18" width="16.7109375" customWidth="1"/>
    <col min="19" max="19" width="11.42578125" customWidth="1"/>
    <col min="20" max="20" width="28.28515625" customWidth="1"/>
    <col min="21" max="21" width="21.140625" customWidth="1"/>
    <col min="22" max="22" width="21" customWidth="1"/>
    <col min="23" max="23" width="43" customWidth="1"/>
    <col min="24" max="25" width="11.42578125" customWidth="1"/>
    <col min="26" max="26" width="18.7109375" customWidth="1"/>
    <col min="27" max="27" width="11.42578125" customWidth="1"/>
    <col min="28" max="28" width="20.5703125" customWidth="1"/>
    <col min="29" max="261" width="11.42578125" customWidth="1"/>
  </cols>
  <sheetData>
    <row r="1" spans="1:28" ht="16.149999999999999" customHeight="1" x14ac:dyDescent="0.25">
      <c r="A1" s="364" t="s">
        <v>182</v>
      </c>
      <c r="B1" s="364"/>
      <c r="C1" s="364"/>
      <c r="D1" s="290"/>
      <c r="E1" s="290"/>
      <c r="F1" s="290"/>
      <c r="G1" s="290"/>
      <c r="H1" s="290"/>
      <c r="I1" s="290"/>
      <c r="L1" s="230"/>
      <c r="M1" s="231" t="s">
        <v>163</v>
      </c>
      <c r="N1" s="231" t="s">
        <v>235</v>
      </c>
      <c r="O1" s="231" t="s">
        <v>164</v>
      </c>
      <c r="P1" s="231" t="s">
        <v>165</v>
      </c>
      <c r="Q1" s="231" t="s">
        <v>166</v>
      </c>
      <c r="R1" s="231" t="s">
        <v>167</v>
      </c>
      <c r="S1" s="231" t="s">
        <v>168</v>
      </c>
      <c r="T1" s="231" t="s">
        <v>169</v>
      </c>
      <c r="U1" s="231" t="s">
        <v>170</v>
      </c>
      <c r="V1" s="231" t="s">
        <v>171</v>
      </c>
      <c r="W1" s="231" t="s">
        <v>172</v>
      </c>
      <c r="X1" s="231" t="s">
        <v>173</v>
      </c>
      <c r="Y1" s="231" t="s">
        <v>174</v>
      </c>
      <c r="Z1" s="231" t="s">
        <v>175</v>
      </c>
      <c r="AA1" s="231" t="s">
        <v>176</v>
      </c>
      <c r="AB1" s="231" t="s">
        <v>233</v>
      </c>
    </row>
    <row r="2" spans="1:28" ht="18" x14ac:dyDescent="0.25">
      <c r="D2" s="366"/>
      <c r="E2" s="366"/>
      <c r="F2" s="366"/>
      <c r="G2" s="366"/>
      <c r="H2" s="366"/>
      <c r="I2" s="366"/>
      <c r="L2" s="231" t="s">
        <v>228</v>
      </c>
      <c r="M2" s="389">
        <f>+C5</f>
        <v>79102</v>
      </c>
      <c r="N2" s="374">
        <f>+E47</f>
        <v>327.08385106837898</v>
      </c>
      <c r="O2" s="386">
        <f>+M2*N2</f>
        <v>25872986.787210915</v>
      </c>
      <c r="P2" s="232">
        <v>30</v>
      </c>
      <c r="Q2" s="232">
        <v>2.15</v>
      </c>
      <c r="R2" s="233">
        <v>-6.25E-2</v>
      </c>
      <c r="S2" s="232">
        <v>1</v>
      </c>
      <c r="T2" s="377">
        <f>10^(-(V2)*R2*W2)</f>
        <v>0.83732512334918852</v>
      </c>
      <c r="U2" s="234">
        <v>0.12</v>
      </c>
      <c r="V2" s="232">
        <v>-1.175</v>
      </c>
      <c r="W2" s="377">
        <f>+(S2^2+(Y2^2/R2^2)*X2^2)^0.5</f>
        <v>1.049952379872535</v>
      </c>
      <c r="X2" s="232">
        <v>1</v>
      </c>
      <c r="Y2" s="232">
        <v>0.02</v>
      </c>
      <c r="Z2" s="377">
        <f>1/1.47</f>
        <v>0.68027210884353739</v>
      </c>
      <c r="AA2" s="232">
        <v>1.5</v>
      </c>
      <c r="AB2" s="382">
        <f>+Q2*(O2/1000000)^(R2)*T2*Z2*AA2</f>
        <v>1.4990067756556296</v>
      </c>
    </row>
    <row r="3" spans="1:28" ht="18" hidden="1" x14ac:dyDescent="0.25">
      <c r="D3" s="367"/>
      <c r="E3" s="367"/>
      <c r="F3" s="367"/>
      <c r="G3" s="367"/>
      <c r="H3" s="367"/>
      <c r="I3" s="367"/>
      <c r="L3" s="231"/>
      <c r="M3" s="389"/>
      <c r="N3" s="302"/>
      <c r="O3" s="386"/>
      <c r="P3" s="232"/>
      <c r="Q3" s="232"/>
      <c r="R3" s="232"/>
      <c r="S3" s="232"/>
      <c r="T3" s="377"/>
      <c r="U3" s="232"/>
      <c r="V3" s="232"/>
      <c r="W3" s="377"/>
      <c r="X3" s="232"/>
      <c r="Y3" s="232"/>
      <c r="Z3" s="377"/>
      <c r="AA3" s="232"/>
      <c r="AB3" s="377"/>
    </row>
    <row r="4" spans="1:28" ht="18" hidden="1" x14ac:dyDescent="0.25">
      <c r="C4" s="281" t="s">
        <v>240</v>
      </c>
      <c r="D4" s="293"/>
      <c r="E4" s="293"/>
      <c r="F4" s="293"/>
      <c r="G4" s="293"/>
      <c r="H4" s="293"/>
      <c r="I4" s="293"/>
      <c r="L4" s="231"/>
      <c r="M4" s="389"/>
      <c r="N4" s="302"/>
      <c r="O4" s="386"/>
      <c r="P4" s="232"/>
      <c r="Q4" s="232"/>
      <c r="R4" s="232"/>
      <c r="S4" s="232"/>
      <c r="T4" s="377"/>
      <c r="U4" s="232"/>
      <c r="V4" s="232"/>
      <c r="W4" s="377"/>
      <c r="X4" s="232"/>
      <c r="Y4" s="232"/>
      <c r="Z4" s="377"/>
      <c r="AA4" s="232"/>
      <c r="AB4" s="377"/>
    </row>
    <row r="5" spans="1:28" ht="18" hidden="1" x14ac:dyDescent="0.25">
      <c r="A5" t="s">
        <v>220</v>
      </c>
      <c r="C5" s="249">
        <v>79102</v>
      </c>
      <c r="D5" s="294"/>
      <c r="E5" s="294"/>
      <c r="F5" s="294"/>
      <c r="G5" s="294"/>
      <c r="H5" s="294"/>
      <c r="I5" s="294"/>
      <c r="L5" s="231"/>
      <c r="M5" s="389"/>
      <c r="N5" s="302"/>
      <c r="O5" s="386"/>
      <c r="P5" s="232"/>
      <c r="Q5" s="232"/>
      <c r="R5" s="232"/>
      <c r="S5" s="232"/>
      <c r="T5" s="377"/>
      <c r="U5" s="232"/>
      <c r="V5" s="232"/>
      <c r="W5" s="377"/>
      <c r="X5" s="232"/>
      <c r="Y5" s="232"/>
      <c r="Z5" s="377"/>
      <c r="AA5" s="232"/>
      <c r="AB5" s="377"/>
    </row>
    <row r="6" spans="1:28" ht="18" hidden="1" x14ac:dyDescent="0.25">
      <c r="A6" t="s">
        <v>221</v>
      </c>
      <c r="C6" s="299">
        <v>227969</v>
      </c>
      <c r="D6" s="294"/>
      <c r="E6" s="294"/>
      <c r="F6" s="294"/>
      <c r="G6" s="294"/>
      <c r="H6" s="294"/>
      <c r="I6" s="295"/>
      <c r="L6" s="231"/>
      <c r="M6" s="389"/>
      <c r="N6" s="302"/>
      <c r="O6" s="386"/>
      <c r="P6" s="232"/>
      <c r="Q6" s="232"/>
      <c r="R6" s="232"/>
      <c r="S6" s="232"/>
      <c r="T6" s="377"/>
      <c r="U6" s="232"/>
      <c r="V6" s="232"/>
      <c r="W6" s="377"/>
      <c r="X6" s="232"/>
      <c r="Y6" s="232"/>
      <c r="Z6" s="377"/>
      <c r="AA6" s="232"/>
      <c r="AB6" s="377"/>
    </row>
    <row r="7" spans="1:28" ht="18" hidden="1" x14ac:dyDescent="0.25">
      <c r="A7" t="s">
        <v>222</v>
      </c>
      <c r="C7" s="299">
        <v>329772</v>
      </c>
      <c r="D7" s="294"/>
      <c r="E7" s="294"/>
      <c r="F7" s="294"/>
      <c r="G7" s="294"/>
      <c r="H7" s="294"/>
      <c r="I7" s="294"/>
      <c r="L7" s="231"/>
      <c r="M7" s="389"/>
      <c r="N7" s="302"/>
      <c r="O7" s="386"/>
      <c r="P7" s="232"/>
      <c r="Q7" s="232"/>
      <c r="R7" s="232"/>
      <c r="S7" s="232"/>
      <c r="T7" s="377"/>
      <c r="U7" s="232"/>
      <c r="V7" s="232"/>
      <c r="W7" s="377"/>
      <c r="X7" s="232"/>
      <c r="Y7" s="232"/>
      <c r="Z7" s="377"/>
      <c r="AA7" s="232"/>
      <c r="AB7" s="377"/>
    </row>
    <row r="8" spans="1:28" ht="18" x14ac:dyDescent="0.25">
      <c r="A8" t="s">
        <v>223</v>
      </c>
      <c r="C8" s="299">
        <v>352875</v>
      </c>
      <c r="D8" s="294"/>
      <c r="E8" s="294"/>
      <c r="F8" s="294"/>
      <c r="G8" s="294"/>
      <c r="H8" s="294"/>
      <c r="I8" s="294"/>
      <c r="L8" s="235" t="s">
        <v>229</v>
      </c>
      <c r="M8" s="390">
        <f>+C6</f>
        <v>227969</v>
      </c>
      <c r="N8" s="303">
        <f>+E77</f>
        <v>771.40246368855014</v>
      </c>
      <c r="O8" s="387">
        <f>+M8*N8</f>
        <v>175855848.24461508</v>
      </c>
      <c r="P8" s="236">
        <v>30</v>
      </c>
      <c r="Q8" s="236">
        <v>2.15</v>
      </c>
      <c r="R8" s="237">
        <v>-6.25E-2</v>
      </c>
      <c r="S8" s="236">
        <v>1</v>
      </c>
      <c r="T8" s="378">
        <f>10^(-(V8)*R8*W8)</f>
        <v>0.83732512334918852</v>
      </c>
      <c r="U8" s="238">
        <v>0.12</v>
      </c>
      <c r="V8" s="236">
        <v>-1.175</v>
      </c>
      <c r="W8" s="378">
        <f>+(S8^2+(Y8^2/R8^2)*X8^2)^0.5</f>
        <v>1.049952379872535</v>
      </c>
      <c r="X8" s="236">
        <v>1</v>
      </c>
      <c r="Y8" s="236">
        <v>0.02</v>
      </c>
      <c r="Z8" s="378">
        <f>1/1.47</f>
        <v>0.68027210884353739</v>
      </c>
      <c r="AA8" s="236">
        <v>1.5</v>
      </c>
      <c r="AB8" s="383">
        <f>+Q8*(O8/1000000)^(R8)*T8*Z8*AA8</f>
        <v>1.3297934986003228</v>
      </c>
    </row>
    <row r="9" spans="1:28" ht="18" hidden="1" x14ac:dyDescent="0.25">
      <c r="B9" s="255"/>
      <c r="C9" s="253"/>
      <c r="D9" s="296"/>
      <c r="E9" s="296"/>
      <c r="F9" s="296"/>
      <c r="G9" s="296"/>
      <c r="H9" s="296"/>
      <c r="I9" s="296"/>
      <c r="L9" s="235"/>
      <c r="M9" s="390"/>
      <c r="N9" s="236"/>
      <c r="O9" s="387"/>
      <c r="P9" s="236"/>
      <c r="Q9" s="236"/>
      <c r="R9" s="236"/>
      <c r="S9" s="236"/>
      <c r="T9" s="378"/>
      <c r="U9" s="236"/>
      <c r="V9" s="236"/>
      <c r="W9" s="378"/>
      <c r="X9" s="236"/>
      <c r="Y9" s="236"/>
      <c r="Z9" s="378"/>
      <c r="AA9" s="236"/>
      <c r="AB9" s="378"/>
    </row>
    <row r="10" spans="1:28" ht="18" hidden="1" x14ac:dyDescent="0.25">
      <c r="C10" s="251"/>
      <c r="D10" s="297"/>
      <c r="E10" s="297"/>
      <c r="F10" s="297"/>
      <c r="G10" s="297"/>
      <c r="H10" s="297"/>
      <c r="I10" s="297"/>
      <c r="L10" s="235"/>
      <c r="M10" s="390"/>
      <c r="N10" s="236"/>
      <c r="O10" s="387"/>
      <c r="P10" s="236"/>
      <c r="Q10" s="236"/>
      <c r="R10" s="236"/>
      <c r="S10" s="236"/>
      <c r="T10" s="378"/>
      <c r="U10" s="236"/>
      <c r="V10" s="236"/>
      <c r="W10" s="378"/>
      <c r="X10" s="236"/>
      <c r="Y10" s="236"/>
      <c r="Z10" s="378"/>
      <c r="AA10" s="236"/>
      <c r="AB10" s="378"/>
    </row>
    <row r="11" spans="1:28" ht="18" hidden="1" x14ac:dyDescent="0.25">
      <c r="D11" s="298"/>
      <c r="E11" s="297"/>
      <c r="F11" s="297"/>
      <c r="G11" s="297"/>
      <c r="H11" s="297"/>
      <c r="I11" s="297"/>
      <c r="L11" s="235"/>
      <c r="M11" s="390"/>
      <c r="N11" s="236"/>
      <c r="O11" s="387"/>
      <c r="P11" s="236"/>
      <c r="Q11" s="236"/>
      <c r="R11" s="236"/>
      <c r="S11" s="236"/>
      <c r="T11" s="378"/>
      <c r="U11" s="236"/>
      <c r="V11" s="236"/>
      <c r="W11" s="378"/>
      <c r="X11" s="236"/>
      <c r="Y11" s="236"/>
      <c r="Z11" s="378"/>
      <c r="AA11" s="236"/>
      <c r="AB11" s="378"/>
    </row>
    <row r="12" spans="1:28" ht="18" hidden="1" x14ac:dyDescent="0.25">
      <c r="L12" s="239"/>
      <c r="M12" s="391"/>
      <c r="N12" s="236"/>
      <c r="O12" s="394"/>
      <c r="P12" s="240"/>
      <c r="Q12" s="240"/>
      <c r="R12" s="240"/>
      <c r="S12" s="240"/>
      <c r="T12" s="379"/>
      <c r="U12" s="240"/>
      <c r="V12" s="240"/>
      <c r="W12" s="379"/>
      <c r="X12" s="240"/>
      <c r="Y12" s="240"/>
      <c r="Z12" s="379"/>
      <c r="AA12" s="240"/>
      <c r="AB12" s="379"/>
    </row>
    <row r="13" spans="1:28" ht="18" hidden="1" x14ac:dyDescent="0.25">
      <c r="L13" s="239"/>
      <c r="M13" s="391"/>
      <c r="N13" s="236"/>
      <c r="O13" s="394"/>
      <c r="P13" s="240"/>
      <c r="Q13" s="240"/>
      <c r="R13" s="240"/>
      <c r="S13" s="240"/>
      <c r="T13" s="379"/>
      <c r="U13" s="240"/>
      <c r="V13" s="240"/>
      <c r="W13" s="379"/>
      <c r="X13" s="240"/>
      <c r="Y13" s="240"/>
      <c r="Z13" s="379"/>
      <c r="AA13" s="240"/>
      <c r="AB13" s="379"/>
    </row>
    <row r="14" spans="1:28" ht="18" x14ac:dyDescent="0.25">
      <c r="L14" s="241" t="s">
        <v>230</v>
      </c>
      <c r="M14" s="392">
        <f>+C7</f>
        <v>329772</v>
      </c>
      <c r="N14" s="300">
        <f>+E107</f>
        <v>754.69498079598588</v>
      </c>
      <c r="O14" s="388">
        <f>+M14*N14</f>
        <v>248877273.20705387</v>
      </c>
      <c r="P14" s="242">
        <v>30</v>
      </c>
      <c r="Q14" s="242">
        <v>2.15</v>
      </c>
      <c r="R14" s="243">
        <v>-6.25E-2</v>
      </c>
      <c r="S14" s="242">
        <v>1</v>
      </c>
      <c r="T14" s="380">
        <f>10^(-(V14)*R14*W14)</f>
        <v>0.83732512334918852</v>
      </c>
      <c r="U14" s="244">
        <v>0.12</v>
      </c>
      <c r="V14" s="242">
        <v>-1.175</v>
      </c>
      <c r="W14" s="380">
        <f>+(S14^2+(Y14^2/R14^2)*X14^2)^0.5</f>
        <v>1.049952379872535</v>
      </c>
      <c r="X14" s="242">
        <v>1</v>
      </c>
      <c r="Y14" s="242">
        <v>0.02</v>
      </c>
      <c r="Z14" s="380">
        <f>1/1.47</f>
        <v>0.68027210884353739</v>
      </c>
      <c r="AA14" s="242">
        <v>1.5</v>
      </c>
      <c r="AB14" s="384">
        <f>+Q14*(O14/1000000)^(R14)*T14*Z14*AA14</f>
        <v>1.301240071455297</v>
      </c>
    </row>
    <row r="15" spans="1:28" ht="18" hidden="1" x14ac:dyDescent="0.25">
      <c r="L15" s="241"/>
      <c r="M15" s="392"/>
      <c r="N15" s="242"/>
      <c r="O15" s="388"/>
      <c r="P15" s="242"/>
      <c r="Q15" s="242"/>
      <c r="R15" s="242"/>
      <c r="S15" s="242"/>
      <c r="T15" s="380"/>
      <c r="U15" s="242"/>
      <c r="V15" s="242"/>
      <c r="W15" s="380"/>
      <c r="X15" s="242"/>
      <c r="Y15" s="242"/>
      <c r="Z15" s="380"/>
      <c r="AA15" s="242"/>
      <c r="AB15" s="380"/>
    </row>
    <row r="16" spans="1:28" ht="18" hidden="1" x14ac:dyDescent="0.25">
      <c r="L16" s="241"/>
      <c r="M16" s="392"/>
      <c r="N16" s="242"/>
      <c r="O16" s="388"/>
      <c r="P16" s="242"/>
      <c r="Q16" s="242"/>
      <c r="R16" s="242"/>
      <c r="S16" s="242"/>
      <c r="T16" s="380"/>
      <c r="U16" s="242"/>
      <c r="V16" s="242"/>
      <c r="W16" s="380"/>
      <c r="X16" s="242"/>
      <c r="Y16" s="242"/>
      <c r="Z16" s="380"/>
      <c r="AA16" s="242"/>
      <c r="AB16" s="380"/>
    </row>
    <row r="17" spans="1:28" ht="18" hidden="1" x14ac:dyDescent="0.25">
      <c r="L17" s="241"/>
      <c r="M17" s="392"/>
      <c r="N17" s="242"/>
      <c r="O17" s="388"/>
      <c r="P17" s="242"/>
      <c r="Q17" s="242"/>
      <c r="R17" s="242"/>
      <c r="S17" s="242"/>
      <c r="T17" s="380"/>
      <c r="U17" s="242"/>
      <c r="V17" s="242"/>
      <c r="W17" s="380"/>
      <c r="X17" s="242"/>
      <c r="Y17" s="242"/>
      <c r="Z17" s="380"/>
      <c r="AA17" s="242"/>
      <c r="AB17" s="380"/>
    </row>
    <row r="18" spans="1:28" ht="18" hidden="1" x14ac:dyDescent="0.25">
      <c r="L18" s="241"/>
      <c r="M18" s="392"/>
      <c r="N18" s="242"/>
      <c r="O18" s="388"/>
      <c r="P18" s="242"/>
      <c r="Q18" s="242"/>
      <c r="R18" s="242"/>
      <c r="S18" s="242"/>
      <c r="T18" s="380"/>
      <c r="U18" s="242"/>
      <c r="V18" s="242"/>
      <c r="W18" s="380"/>
      <c r="X18" s="242"/>
      <c r="Y18" s="242"/>
      <c r="Z18" s="380"/>
      <c r="AA18" s="242"/>
      <c r="AB18" s="380"/>
    </row>
    <row r="19" spans="1:28" ht="18" hidden="1" x14ac:dyDescent="0.25">
      <c r="L19" s="241"/>
      <c r="M19" s="392"/>
      <c r="N19" s="242"/>
      <c r="O19" s="388"/>
      <c r="P19" s="242"/>
      <c r="Q19" s="242"/>
      <c r="R19" s="242"/>
      <c r="S19" s="242"/>
      <c r="T19" s="380"/>
      <c r="U19" s="242"/>
      <c r="V19" s="242"/>
      <c r="W19" s="380"/>
      <c r="X19" s="242"/>
      <c r="Y19" s="242"/>
      <c r="Z19" s="380"/>
      <c r="AA19" s="242"/>
      <c r="AB19" s="380"/>
    </row>
    <row r="20" spans="1:28" ht="18" x14ac:dyDescent="0.25">
      <c r="A20" s="273" t="s">
        <v>220</v>
      </c>
      <c r="L20" s="245" t="s">
        <v>231</v>
      </c>
      <c r="M20" s="393">
        <f>+C8</f>
        <v>352875</v>
      </c>
      <c r="N20" s="301">
        <f>+E137</f>
        <v>3.4536883562595079E-2</v>
      </c>
      <c r="O20" s="376">
        <f>+M20*N20</f>
        <v>12187.202787150738</v>
      </c>
      <c r="P20" s="246">
        <v>30</v>
      </c>
      <c r="Q20" s="246">
        <v>2.15</v>
      </c>
      <c r="R20" s="247">
        <v>-6.25E-2</v>
      </c>
      <c r="S20" s="246">
        <v>1</v>
      </c>
      <c r="T20" s="381">
        <f>10^(-(V20)*R20*W20)</f>
        <v>0.83732512334918852</v>
      </c>
      <c r="U20" s="248">
        <v>0.12</v>
      </c>
      <c r="V20" s="246">
        <v>-1.175</v>
      </c>
      <c r="W20" s="381">
        <f>+(S20^2+(Y20^2/R20^2)*X20^2)^0.5</f>
        <v>1.049952379872535</v>
      </c>
      <c r="X20" s="246">
        <v>1</v>
      </c>
      <c r="Y20" s="246">
        <v>0.02</v>
      </c>
      <c r="Z20" s="381">
        <f>1/1.47</f>
        <v>0.68027210884353739</v>
      </c>
      <c r="AA20" s="246">
        <v>1.5</v>
      </c>
      <c r="AB20" s="385">
        <f>+Q20*(O20/1000000)^(R20)*T20*Z20*AA20</f>
        <v>2.4195661718864252</v>
      </c>
    </row>
    <row r="21" spans="1:28" x14ac:dyDescent="0.25">
      <c r="A21" s="365" t="s">
        <v>212</v>
      </c>
      <c r="B21" s="365"/>
      <c r="C21" s="365"/>
      <c r="D21" s="365"/>
      <c r="E21" s="365"/>
      <c r="G21" s="365" t="s">
        <v>215</v>
      </c>
      <c r="H21" s="365"/>
      <c r="I21" s="365"/>
    </row>
    <row r="22" spans="1:28" x14ac:dyDescent="0.25">
      <c r="A22" s="270" t="s">
        <v>187</v>
      </c>
      <c r="B22" s="270" t="s">
        <v>208</v>
      </c>
      <c r="C22" s="270" t="s">
        <v>209</v>
      </c>
      <c r="D22" s="270"/>
      <c r="E22" s="270"/>
      <c r="G22" s="270" t="s">
        <v>209</v>
      </c>
      <c r="H22" s="270"/>
      <c r="I22" s="270"/>
    </row>
    <row r="23" spans="1:28" x14ac:dyDescent="0.25">
      <c r="A23" s="270" t="s">
        <v>188</v>
      </c>
      <c r="B23" s="270" t="s">
        <v>188</v>
      </c>
      <c r="C23" s="270" t="s">
        <v>210</v>
      </c>
      <c r="D23" s="270" t="s">
        <v>213</v>
      </c>
      <c r="E23" s="270" t="s">
        <v>214</v>
      </c>
      <c r="G23" s="270" t="s">
        <v>216</v>
      </c>
      <c r="H23" s="270" t="s">
        <v>217</v>
      </c>
      <c r="I23" s="270" t="s">
        <v>218</v>
      </c>
    </row>
    <row r="24" spans="1:28" x14ac:dyDescent="0.25">
      <c r="A24" s="271" t="s">
        <v>189</v>
      </c>
      <c r="B24" s="272">
        <v>20</v>
      </c>
      <c r="C24" s="272">
        <f>1*(B24/130)^12</f>
        <v>1.7580843998409351E-10</v>
      </c>
      <c r="D24" s="272">
        <v>40</v>
      </c>
      <c r="E24" s="272">
        <f>+C24*D24</f>
        <v>7.0323375993637407E-9</v>
      </c>
      <c r="G24" s="272">
        <f>12*(B24/130)^12</f>
        <v>2.1097012798091221E-9</v>
      </c>
      <c r="H24" s="272"/>
      <c r="I24" s="250">
        <f>+G24*H24</f>
        <v>0</v>
      </c>
    </row>
    <row r="25" spans="1:28" x14ac:dyDescent="0.25">
      <c r="A25" s="272" t="s">
        <v>190</v>
      </c>
      <c r="B25" s="272">
        <v>35</v>
      </c>
      <c r="C25" s="272">
        <f t="shared" ref="C25:C43" si="0">1*(B25/130)^12</f>
        <v>1.4504284323332356E-7</v>
      </c>
      <c r="D25" s="272"/>
      <c r="E25" s="272">
        <f t="shared" ref="E25:E33" si="1">+C25*D25</f>
        <v>0</v>
      </c>
      <c r="G25" s="272">
        <f t="shared" ref="G25:G43" si="2">12*(B25/130)^12</f>
        <v>1.7405141187998827E-6</v>
      </c>
      <c r="H25" s="272"/>
      <c r="I25" s="250">
        <f>+G25*H25</f>
        <v>0</v>
      </c>
    </row>
    <row r="26" spans="1:28" x14ac:dyDescent="0.25">
      <c r="A26" s="272" t="s">
        <v>191</v>
      </c>
      <c r="B26" s="272">
        <v>45</v>
      </c>
      <c r="C26" s="272">
        <f t="shared" si="0"/>
        <v>2.9595790037009225E-6</v>
      </c>
      <c r="D26" s="272"/>
      <c r="E26" s="272">
        <f t="shared" si="1"/>
        <v>0</v>
      </c>
      <c r="G26" s="272">
        <f t="shared" si="2"/>
        <v>3.5514948044411068E-5</v>
      </c>
      <c r="H26" s="250"/>
      <c r="I26" s="250">
        <f t="shared" ref="I26:I43" si="3">+G26*H26</f>
        <v>0</v>
      </c>
    </row>
    <row r="27" spans="1:28" x14ac:dyDescent="0.25">
      <c r="A27" s="272" t="s">
        <v>192</v>
      </c>
      <c r="B27" s="272">
        <v>55</v>
      </c>
      <c r="C27" s="272">
        <f t="shared" si="0"/>
        <v>3.2887589747496218E-5</v>
      </c>
      <c r="D27" s="272">
        <v>20</v>
      </c>
      <c r="E27" s="272">
        <f t="shared" si="1"/>
        <v>6.5775179494992439E-4</v>
      </c>
      <c r="G27" s="272">
        <f t="shared" si="2"/>
        <v>3.9465107696995459E-4</v>
      </c>
      <c r="H27" s="250"/>
      <c r="I27" s="250">
        <f t="shared" si="3"/>
        <v>0</v>
      </c>
    </row>
    <row r="28" spans="1:28" x14ac:dyDescent="0.25">
      <c r="A28" s="272" t="s">
        <v>193</v>
      </c>
      <c r="B28" s="272">
        <v>65</v>
      </c>
      <c r="C28" s="272">
        <f>1*(B28/130)^12</f>
        <v>2.44140625E-4</v>
      </c>
      <c r="D28" s="272">
        <v>40</v>
      </c>
      <c r="E28" s="272">
        <f t="shared" si="1"/>
        <v>9.765625E-3</v>
      </c>
      <c r="G28" s="272">
        <f t="shared" si="2"/>
        <v>2.9296875E-3</v>
      </c>
      <c r="H28" s="272">
        <v>15</v>
      </c>
      <c r="I28" s="250">
        <f t="shared" si="3"/>
        <v>4.39453125E-2</v>
      </c>
    </row>
    <row r="29" spans="1:28" x14ac:dyDescent="0.25">
      <c r="A29" s="272" t="s">
        <v>194</v>
      </c>
      <c r="B29" s="272">
        <v>75</v>
      </c>
      <c r="C29" s="272">
        <f t="shared" si="0"/>
        <v>1.3596118246436012E-3</v>
      </c>
      <c r="D29" s="272"/>
      <c r="E29" s="272">
        <f t="shared" si="1"/>
        <v>0</v>
      </c>
      <c r="G29" s="272">
        <f t="shared" si="2"/>
        <v>1.6315341895723215E-2</v>
      </c>
      <c r="H29" s="250"/>
      <c r="I29" s="250">
        <f t="shared" si="3"/>
        <v>0</v>
      </c>
    </row>
    <row r="30" spans="1:28" x14ac:dyDescent="0.25">
      <c r="A30" s="272" t="s">
        <v>195</v>
      </c>
      <c r="B30" s="272">
        <v>85</v>
      </c>
      <c r="C30" s="272">
        <f t="shared" si="0"/>
        <v>6.1052981989030046E-3</v>
      </c>
      <c r="D30" s="272"/>
      <c r="E30" s="272">
        <f t="shared" si="1"/>
        <v>0</v>
      </c>
      <c r="G30" s="272">
        <f t="shared" si="2"/>
        <v>7.3263578386836059E-2</v>
      </c>
      <c r="H30" s="250"/>
      <c r="I30" s="250">
        <f t="shared" si="3"/>
        <v>0</v>
      </c>
    </row>
    <row r="31" spans="1:28" x14ac:dyDescent="0.25">
      <c r="A31" s="272" t="s">
        <v>196</v>
      </c>
      <c r="B31" s="272">
        <v>95</v>
      </c>
      <c r="C31" s="272">
        <f t="shared" si="0"/>
        <v>2.3193326182040046E-2</v>
      </c>
      <c r="D31" s="272"/>
      <c r="E31" s="272">
        <f t="shared" si="1"/>
        <v>0</v>
      </c>
      <c r="G31" s="272">
        <f t="shared" si="2"/>
        <v>0.27831991418448054</v>
      </c>
      <c r="H31" s="250"/>
      <c r="I31" s="250">
        <f t="shared" si="3"/>
        <v>0</v>
      </c>
    </row>
    <row r="32" spans="1:28" x14ac:dyDescent="0.25">
      <c r="A32" s="272" t="s">
        <v>197</v>
      </c>
      <c r="B32" s="272">
        <v>105</v>
      </c>
      <c r="C32" s="272">
        <f>1*(B32/130)^12</f>
        <v>7.7081713650760789E-2</v>
      </c>
      <c r="D32" s="272"/>
      <c r="E32" s="272">
        <f t="shared" si="1"/>
        <v>0</v>
      </c>
      <c r="G32" s="272">
        <f t="shared" si="2"/>
        <v>0.92498056380912952</v>
      </c>
      <c r="H32" s="250"/>
      <c r="I32" s="250">
        <f t="shared" si="3"/>
        <v>0</v>
      </c>
    </row>
    <row r="33" spans="1:9" x14ac:dyDescent="0.25">
      <c r="A33" s="272" t="s">
        <v>198</v>
      </c>
      <c r="B33" s="272">
        <v>115</v>
      </c>
      <c r="C33" s="272">
        <f t="shared" si="0"/>
        <v>0.22964334095900002</v>
      </c>
      <c r="D33" s="272">
        <v>20</v>
      </c>
      <c r="E33" s="272">
        <f t="shared" si="1"/>
        <v>4.5928668191800002</v>
      </c>
      <c r="G33" s="272">
        <f t="shared" si="2"/>
        <v>2.7557200915080005</v>
      </c>
      <c r="H33" s="250"/>
      <c r="I33" s="250">
        <f t="shared" si="3"/>
        <v>0</v>
      </c>
    </row>
    <row r="34" spans="1:9" x14ac:dyDescent="0.25">
      <c r="A34" s="272" t="s">
        <v>199</v>
      </c>
      <c r="B34" s="272">
        <v>125</v>
      </c>
      <c r="C34" s="272">
        <f t="shared" si="0"/>
        <v>0.62459704958006546</v>
      </c>
      <c r="D34" s="272"/>
      <c r="E34" s="272"/>
      <c r="G34" s="272">
        <f t="shared" si="2"/>
        <v>7.4951645949607855</v>
      </c>
      <c r="H34" s="250"/>
      <c r="I34" s="250">
        <f t="shared" si="3"/>
        <v>0</v>
      </c>
    </row>
    <row r="35" spans="1:9" x14ac:dyDescent="0.25">
      <c r="A35" s="272" t="s">
        <v>200</v>
      </c>
      <c r="B35" s="272">
        <v>135</v>
      </c>
      <c r="C35" s="272">
        <f t="shared" si="0"/>
        <v>1.5728416253058253</v>
      </c>
      <c r="D35" s="272"/>
      <c r="E35" s="272"/>
      <c r="G35" s="272">
        <f t="shared" si="2"/>
        <v>18.874099503669903</v>
      </c>
      <c r="H35" s="272"/>
      <c r="I35" s="250">
        <f t="shared" si="3"/>
        <v>0</v>
      </c>
    </row>
    <row r="36" spans="1:9" x14ac:dyDescent="0.25">
      <c r="A36" s="272" t="s">
        <v>201</v>
      </c>
      <c r="B36" s="272">
        <v>145</v>
      </c>
      <c r="C36" s="272">
        <f t="shared" si="0"/>
        <v>3.70762497655533</v>
      </c>
      <c r="D36" s="272"/>
      <c r="E36" s="272"/>
      <c r="G36" s="272">
        <f t="shared" si="2"/>
        <v>44.49149971866396</v>
      </c>
      <c r="H36" s="272">
        <v>10</v>
      </c>
      <c r="I36" s="250">
        <f t="shared" si="3"/>
        <v>444.9149971866396</v>
      </c>
    </row>
    <row r="37" spans="1:9" x14ac:dyDescent="0.25">
      <c r="A37" s="272" t="s">
        <v>202</v>
      </c>
      <c r="B37" s="272">
        <v>155</v>
      </c>
      <c r="C37" s="272">
        <f t="shared" si="0"/>
        <v>8.2539180070992231</v>
      </c>
      <c r="D37" s="272"/>
      <c r="E37" s="272"/>
      <c r="G37" s="272">
        <f t="shared" si="2"/>
        <v>99.047016085190677</v>
      </c>
      <c r="H37" s="272"/>
      <c r="I37" s="250">
        <f t="shared" si="3"/>
        <v>0</v>
      </c>
    </row>
    <row r="38" spans="1:9" x14ac:dyDescent="0.25">
      <c r="A38" s="272" t="s">
        <v>203</v>
      </c>
      <c r="B38" s="272">
        <v>165</v>
      </c>
      <c r="C38" s="272">
        <f t="shared" si="0"/>
        <v>17.477813582999133</v>
      </c>
      <c r="D38" s="272"/>
      <c r="E38" s="272"/>
      <c r="G38" s="272">
        <f t="shared" si="2"/>
        <v>209.73376299598959</v>
      </c>
      <c r="H38" s="272"/>
      <c r="I38" s="250">
        <f t="shared" si="3"/>
        <v>0</v>
      </c>
    </row>
    <row r="39" spans="1:9" x14ac:dyDescent="0.25">
      <c r="A39" s="272" t="s">
        <v>204</v>
      </c>
      <c r="B39" s="272">
        <v>175</v>
      </c>
      <c r="C39" s="272">
        <f t="shared" si="0"/>
        <v>35.410850398760672</v>
      </c>
      <c r="D39" s="272"/>
      <c r="E39" s="272"/>
      <c r="G39" s="272">
        <f t="shared" si="2"/>
        <v>424.93020478512807</v>
      </c>
      <c r="H39" s="272"/>
      <c r="I39" s="250">
        <f t="shared" si="3"/>
        <v>0</v>
      </c>
    </row>
    <row r="40" spans="1:9" x14ac:dyDescent="0.25">
      <c r="A40" s="272" t="s">
        <v>205</v>
      </c>
      <c r="B40" s="272">
        <v>185</v>
      </c>
      <c r="C40" s="272">
        <f t="shared" si="0"/>
        <v>68.982751526647561</v>
      </c>
      <c r="D40" s="272"/>
      <c r="E40" s="272"/>
      <c r="G40" s="272">
        <f t="shared" si="2"/>
        <v>827.79301831977068</v>
      </c>
      <c r="H40" s="272"/>
      <c r="I40" s="250">
        <f t="shared" si="3"/>
        <v>0</v>
      </c>
    </row>
    <row r="41" spans="1:9" x14ac:dyDescent="0.25">
      <c r="A41" s="272" t="s">
        <v>206</v>
      </c>
      <c r="B41" s="272">
        <v>195</v>
      </c>
      <c r="C41" s="272">
        <f t="shared" si="0"/>
        <v>129.746337890625</v>
      </c>
      <c r="D41" s="272"/>
      <c r="E41" s="272"/>
      <c r="G41" s="272">
        <f t="shared" si="2"/>
        <v>1556.9560546875</v>
      </c>
      <c r="H41" s="272"/>
      <c r="I41" s="250">
        <f t="shared" si="3"/>
        <v>0</v>
      </c>
    </row>
    <row r="42" spans="1:9" x14ac:dyDescent="0.25">
      <c r="A42" s="272" t="s">
        <v>207</v>
      </c>
      <c r="B42" s="272">
        <v>205</v>
      </c>
      <c r="C42" s="272">
        <f t="shared" si="0"/>
        <v>236.44280614278321</v>
      </c>
      <c r="D42" s="272"/>
      <c r="E42" s="272"/>
      <c r="G42" s="272">
        <f t="shared" si="2"/>
        <v>2837.3136737133987</v>
      </c>
      <c r="H42" s="272"/>
      <c r="I42" s="250">
        <f t="shared" si="3"/>
        <v>0</v>
      </c>
    </row>
    <row r="43" spans="1:9" x14ac:dyDescent="0.25">
      <c r="A43" s="272" t="s">
        <v>211</v>
      </c>
      <c r="B43" s="272">
        <v>215</v>
      </c>
      <c r="C43" s="272">
        <f t="shared" si="0"/>
        <v>418.73695569080496</v>
      </c>
      <c r="D43" s="272"/>
      <c r="E43" s="272"/>
      <c r="G43" s="272">
        <f t="shared" si="2"/>
        <v>5024.8434682896595</v>
      </c>
      <c r="H43" s="272">
        <v>10</v>
      </c>
      <c r="I43" s="250">
        <f t="shared" si="3"/>
        <v>50248.434682896594</v>
      </c>
    </row>
    <row r="44" spans="1:9" x14ac:dyDescent="0.25">
      <c r="A44" s="272"/>
      <c r="B44" s="272"/>
      <c r="C44" s="272"/>
      <c r="D44" s="272"/>
      <c r="E44" s="272"/>
      <c r="G44" s="250"/>
      <c r="H44" s="250"/>
      <c r="I44" s="250"/>
    </row>
    <row r="45" spans="1:9" x14ac:dyDescent="0.25">
      <c r="A45" s="250"/>
      <c r="B45" s="250"/>
      <c r="C45" s="250"/>
      <c r="D45" s="272">
        <f>SUM(D24:D43)</f>
        <v>120</v>
      </c>
      <c r="E45" s="272">
        <f>SUM(E24:E43)</f>
        <v>4.6032902030072878</v>
      </c>
      <c r="F45" s="251"/>
      <c r="G45" s="250"/>
      <c r="H45" s="272">
        <f>SUM(H24:H43)</f>
        <v>35</v>
      </c>
      <c r="I45" s="272">
        <f>SUM(I24:I43)</f>
        <v>50693.393625395736</v>
      </c>
    </row>
    <row r="46" spans="1:9" x14ac:dyDescent="0.25">
      <c r="E46" s="251"/>
      <c r="F46" s="251"/>
    </row>
    <row r="47" spans="1:9" x14ac:dyDescent="0.25">
      <c r="D47" s="255" t="s">
        <v>219</v>
      </c>
      <c r="E47" s="269">
        <f>+(E45+I45)/(D45+H45)</f>
        <v>327.08385106837898</v>
      </c>
      <c r="F47" s="254"/>
    </row>
    <row r="48" spans="1:9" x14ac:dyDescent="0.25">
      <c r="E48" s="253"/>
      <c r="F48" s="254"/>
    </row>
    <row r="49" spans="1:9" x14ac:dyDescent="0.25">
      <c r="E49" s="251"/>
      <c r="F49" s="251"/>
    </row>
    <row r="50" spans="1:9" x14ac:dyDescent="0.25">
      <c r="A50" s="273" t="s">
        <v>224</v>
      </c>
    </row>
    <row r="51" spans="1:9" x14ac:dyDescent="0.25">
      <c r="A51" s="365" t="s">
        <v>212</v>
      </c>
      <c r="B51" s="365"/>
      <c r="C51" s="365"/>
      <c r="D51" s="365"/>
      <c r="E51" s="365"/>
      <c r="G51" s="365" t="s">
        <v>215</v>
      </c>
      <c r="H51" s="365"/>
      <c r="I51" s="365"/>
    </row>
    <row r="52" spans="1:9" x14ac:dyDescent="0.25">
      <c r="A52" s="270" t="s">
        <v>187</v>
      </c>
      <c r="B52" s="270" t="s">
        <v>208</v>
      </c>
      <c r="C52" s="270" t="s">
        <v>209</v>
      </c>
      <c r="D52" s="270"/>
      <c r="E52" s="270"/>
      <c r="G52" s="270" t="s">
        <v>209</v>
      </c>
      <c r="H52" s="270"/>
      <c r="I52" s="270"/>
    </row>
    <row r="53" spans="1:9" x14ac:dyDescent="0.25">
      <c r="A53" s="270" t="s">
        <v>188</v>
      </c>
      <c r="B53" s="270" t="s">
        <v>188</v>
      </c>
      <c r="C53" s="270" t="s">
        <v>210</v>
      </c>
      <c r="D53" s="270" t="s">
        <v>213</v>
      </c>
      <c r="E53" s="270" t="s">
        <v>214</v>
      </c>
      <c r="G53" s="270" t="s">
        <v>216</v>
      </c>
      <c r="H53" s="270" t="s">
        <v>217</v>
      </c>
      <c r="I53" s="270" t="s">
        <v>218</v>
      </c>
    </row>
    <row r="54" spans="1:9" x14ac:dyDescent="0.25">
      <c r="A54" s="271" t="s">
        <v>189</v>
      </c>
      <c r="B54" s="272">
        <v>20</v>
      </c>
      <c r="C54" s="272">
        <f>1*(B54/130)^12</f>
        <v>1.7580843998409351E-10</v>
      </c>
      <c r="D54" s="272">
        <f>24*5</f>
        <v>120</v>
      </c>
      <c r="E54" s="272">
        <f>+C54*D54</f>
        <v>2.1097012798091222E-8</v>
      </c>
      <c r="G54" s="272">
        <f>12*(B54/130)^12</f>
        <v>2.1097012798091221E-9</v>
      </c>
      <c r="H54" s="272"/>
      <c r="I54" s="250">
        <f>+G54*H54</f>
        <v>0</v>
      </c>
    </row>
    <row r="55" spans="1:9" x14ac:dyDescent="0.25">
      <c r="A55" s="272" t="s">
        <v>190</v>
      </c>
      <c r="B55" s="272">
        <v>35</v>
      </c>
      <c r="C55" s="272">
        <f t="shared" ref="C55:C57" si="4">1*(B55/130)^12</f>
        <v>1.4504284323332356E-7</v>
      </c>
      <c r="D55" s="272"/>
      <c r="E55" s="272">
        <f t="shared" ref="E55:E73" si="5">+C55*D55</f>
        <v>0</v>
      </c>
      <c r="G55" s="272">
        <f t="shared" ref="G55:G73" si="6">12*(B55/130)^12</f>
        <v>1.7405141187998827E-6</v>
      </c>
      <c r="H55" s="272"/>
      <c r="I55" s="250">
        <f>+G55*H55</f>
        <v>0</v>
      </c>
    </row>
    <row r="56" spans="1:9" x14ac:dyDescent="0.25">
      <c r="A56" s="272" t="s">
        <v>191</v>
      </c>
      <c r="B56" s="272">
        <v>45</v>
      </c>
      <c r="C56" s="272">
        <f t="shared" si="4"/>
        <v>2.9595790037009225E-6</v>
      </c>
      <c r="D56" s="272"/>
      <c r="E56" s="272">
        <f t="shared" si="5"/>
        <v>0</v>
      </c>
      <c r="G56" s="272">
        <f t="shared" si="6"/>
        <v>3.5514948044411068E-5</v>
      </c>
      <c r="H56" s="250"/>
      <c r="I56" s="250">
        <f t="shared" ref="I56:I73" si="7">+G56*H56</f>
        <v>0</v>
      </c>
    </row>
    <row r="57" spans="1:9" x14ac:dyDescent="0.25">
      <c r="A57" s="272" t="s">
        <v>192</v>
      </c>
      <c r="B57" s="272">
        <v>55</v>
      </c>
      <c r="C57" s="272">
        <f t="shared" si="4"/>
        <v>3.2887589747496218E-5</v>
      </c>
      <c r="D57" s="272">
        <v>50</v>
      </c>
      <c r="E57" s="272">
        <f t="shared" si="5"/>
        <v>1.6443794873748109E-3</v>
      </c>
      <c r="G57" s="272">
        <f t="shared" si="6"/>
        <v>3.9465107696995459E-4</v>
      </c>
      <c r="H57" s="250"/>
      <c r="I57" s="250">
        <f t="shared" si="7"/>
        <v>0</v>
      </c>
    </row>
    <row r="58" spans="1:9" x14ac:dyDescent="0.25">
      <c r="A58" s="272" t="s">
        <v>193</v>
      </c>
      <c r="B58" s="272">
        <v>65</v>
      </c>
      <c r="C58" s="272">
        <f>1*(B58/130)^12</f>
        <v>2.44140625E-4</v>
      </c>
      <c r="D58" s="272">
        <v>120</v>
      </c>
      <c r="E58" s="272">
        <f t="shared" si="5"/>
        <v>2.9296875E-2</v>
      </c>
      <c r="G58" s="272">
        <f t="shared" si="6"/>
        <v>2.9296875E-3</v>
      </c>
      <c r="H58" s="272">
        <v>50</v>
      </c>
      <c r="I58" s="250">
        <f t="shared" si="7"/>
        <v>0.146484375</v>
      </c>
    </row>
    <row r="59" spans="1:9" x14ac:dyDescent="0.25">
      <c r="A59" s="272" t="s">
        <v>194</v>
      </c>
      <c r="B59" s="272">
        <v>75</v>
      </c>
      <c r="C59" s="272">
        <f t="shared" ref="C59:C61" si="8">1*(B59/130)^12</f>
        <v>1.3596118246436012E-3</v>
      </c>
      <c r="D59" s="272"/>
      <c r="E59" s="272">
        <f t="shared" si="5"/>
        <v>0</v>
      </c>
      <c r="G59" s="272">
        <f t="shared" si="6"/>
        <v>1.6315341895723215E-2</v>
      </c>
      <c r="H59" s="250"/>
      <c r="I59" s="250">
        <f t="shared" si="7"/>
        <v>0</v>
      </c>
    </row>
    <row r="60" spans="1:9" x14ac:dyDescent="0.25">
      <c r="A60" s="272" t="s">
        <v>195</v>
      </c>
      <c r="B60" s="272">
        <v>85</v>
      </c>
      <c r="C60" s="272">
        <f t="shared" si="8"/>
        <v>6.1052981989030046E-3</v>
      </c>
      <c r="D60" s="272"/>
      <c r="E60" s="272">
        <f t="shared" si="5"/>
        <v>0</v>
      </c>
      <c r="G60" s="272">
        <f t="shared" si="6"/>
        <v>7.3263578386836059E-2</v>
      </c>
      <c r="H60" s="250"/>
      <c r="I60" s="250">
        <f t="shared" si="7"/>
        <v>0</v>
      </c>
    </row>
    <row r="61" spans="1:9" x14ac:dyDescent="0.25">
      <c r="A61" s="272" t="s">
        <v>196</v>
      </c>
      <c r="B61" s="272">
        <v>95</v>
      </c>
      <c r="C61" s="272">
        <f t="shared" si="8"/>
        <v>2.3193326182040046E-2</v>
      </c>
      <c r="D61" s="272"/>
      <c r="E61" s="272">
        <f t="shared" si="5"/>
        <v>0</v>
      </c>
      <c r="G61" s="272">
        <f t="shared" si="6"/>
        <v>0.27831991418448054</v>
      </c>
      <c r="H61" s="250"/>
      <c r="I61" s="250">
        <f t="shared" si="7"/>
        <v>0</v>
      </c>
    </row>
    <row r="62" spans="1:9" x14ac:dyDescent="0.25">
      <c r="A62" s="272" t="s">
        <v>197</v>
      </c>
      <c r="B62" s="272">
        <v>105</v>
      </c>
      <c r="C62" s="272">
        <f>1*(B62/130)^12</f>
        <v>7.7081713650760789E-2</v>
      </c>
      <c r="D62" s="272"/>
      <c r="E62" s="272">
        <f t="shared" si="5"/>
        <v>0</v>
      </c>
      <c r="G62" s="272">
        <f t="shared" si="6"/>
        <v>0.92498056380912952</v>
      </c>
      <c r="H62" s="250"/>
      <c r="I62" s="250">
        <f t="shared" si="7"/>
        <v>0</v>
      </c>
    </row>
    <row r="63" spans="1:9" x14ac:dyDescent="0.25">
      <c r="A63" s="272" t="s">
        <v>198</v>
      </c>
      <c r="B63" s="272">
        <v>115</v>
      </c>
      <c r="C63" s="272">
        <f t="shared" ref="C63:C73" si="9">1*(B63/130)^12</f>
        <v>0.22964334095900002</v>
      </c>
      <c r="D63" s="272">
        <v>50</v>
      </c>
      <c r="E63" s="272">
        <f t="shared" si="5"/>
        <v>11.482167047950002</v>
      </c>
      <c r="G63" s="272">
        <f t="shared" si="6"/>
        <v>2.7557200915080005</v>
      </c>
      <c r="H63" s="250"/>
      <c r="I63" s="250">
        <f t="shared" si="7"/>
        <v>0</v>
      </c>
    </row>
    <row r="64" spans="1:9" x14ac:dyDescent="0.25">
      <c r="A64" s="272" t="s">
        <v>199</v>
      </c>
      <c r="B64" s="272">
        <v>125</v>
      </c>
      <c r="C64" s="272">
        <f t="shared" si="9"/>
        <v>0.62459704958006546</v>
      </c>
      <c r="D64" s="272"/>
      <c r="E64" s="272">
        <f t="shared" si="5"/>
        <v>0</v>
      </c>
      <c r="G64" s="272">
        <f t="shared" si="6"/>
        <v>7.4951645949607855</v>
      </c>
      <c r="H64" s="250"/>
      <c r="I64" s="250">
        <f t="shared" si="7"/>
        <v>0</v>
      </c>
    </row>
    <row r="65" spans="1:9" x14ac:dyDescent="0.25">
      <c r="A65" s="272" t="s">
        <v>200</v>
      </c>
      <c r="B65" s="272">
        <v>135</v>
      </c>
      <c r="C65" s="272">
        <f t="shared" si="9"/>
        <v>1.5728416253058253</v>
      </c>
      <c r="D65" s="272"/>
      <c r="E65" s="272">
        <f t="shared" si="5"/>
        <v>0</v>
      </c>
      <c r="G65" s="272">
        <f t="shared" si="6"/>
        <v>18.874099503669903</v>
      </c>
      <c r="H65" s="272"/>
      <c r="I65" s="250">
        <f t="shared" si="7"/>
        <v>0</v>
      </c>
    </row>
    <row r="66" spans="1:9" x14ac:dyDescent="0.25">
      <c r="A66" s="272" t="s">
        <v>201</v>
      </c>
      <c r="B66" s="272">
        <v>145</v>
      </c>
      <c r="C66" s="272">
        <f t="shared" si="9"/>
        <v>3.70762497655533</v>
      </c>
      <c r="D66" s="272"/>
      <c r="E66" s="272">
        <f t="shared" si="5"/>
        <v>0</v>
      </c>
      <c r="G66" s="272">
        <f t="shared" si="6"/>
        <v>44.49149971866396</v>
      </c>
      <c r="H66" s="272">
        <v>25</v>
      </c>
      <c r="I66" s="250">
        <f t="shared" si="7"/>
        <v>1112.2874929665991</v>
      </c>
    </row>
    <row r="67" spans="1:9" x14ac:dyDescent="0.25">
      <c r="A67" s="272" t="s">
        <v>202</v>
      </c>
      <c r="B67" s="272">
        <v>155</v>
      </c>
      <c r="C67" s="272">
        <f t="shared" si="9"/>
        <v>8.2539180070992231</v>
      </c>
      <c r="D67" s="272"/>
      <c r="E67" s="272">
        <f t="shared" si="5"/>
        <v>0</v>
      </c>
      <c r="G67" s="272">
        <f t="shared" si="6"/>
        <v>99.047016085190677</v>
      </c>
      <c r="H67" s="272"/>
      <c r="I67" s="250">
        <f t="shared" si="7"/>
        <v>0</v>
      </c>
    </row>
    <row r="68" spans="1:9" x14ac:dyDescent="0.25">
      <c r="A68" s="272" t="s">
        <v>203</v>
      </c>
      <c r="B68" s="272">
        <v>165</v>
      </c>
      <c r="C68" s="272">
        <f t="shared" si="9"/>
        <v>17.477813582999133</v>
      </c>
      <c r="D68" s="272"/>
      <c r="E68" s="272">
        <f t="shared" si="5"/>
        <v>0</v>
      </c>
      <c r="G68" s="272">
        <f t="shared" si="6"/>
        <v>209.73376299598959</v>
      </c>
      <c r="H68" s="272"/>
      <c r="I68" s="250">
        <f t="shared" si="7"/>
        <v>0</v>
      </c>
    </row>
    <row r="69" spans="1:9" x14ac:dyDescent="0.25">
      <c r="A69" s="272" t="s">
        <v>204</v>
      </c>
      <c r="B69" s="272">
        <v>175</v>
      </c>
      <c r="C69" s="272">
        <f t="shared" si="9"/>
        <v>35.410850398760672</v>
      </c>
      <c r="D69" s="272"/>
      <c r="E69" s="272">
        <f t="shared" si="5"/>
        <v>0</v>
      </c>
      <c r="G69" s="272">
        <f t="shared" si="6"/>
        <v>424.93020478512807</v>
      </c>
      <c r="H69" s="272"/>
      <c r="I69" s="250">
        <f t="shared" si="7"/>
        <v>0</v>
      </c>
    </row>
    <row r="70" spans="1:9" x14ac:dyDescent="0.25">
      <c r="A70" s="272" t="s">
        <v>205</v>
      </c>
      <c r="B70" s="272">
        <v>185</v>
      </c>
      <c r="C70" s="272">
        <f t="shared" si="9"/>
        <v>68.982751526647561</v>
      </c>
      <c r="D70" s="272"/>
      <c r="E70" s="272">
        <f t="shared" si="5"/>
        <v>0</v>
      </c>
      <c r="G70" s="272">
        <f t="shared" si="6"/>
        <v>827.79301831977068</v>
      </c>
      <c r="H70" s="272"/>
      <c r="I70" s="250">
        <f t="shared" si="7"/>
        <v>0</v>
      </c>
    </row>
    <row r="71" spans="1:9" x14ac:dyDescent="0.25">
      <c r="A71" s="272" t="s">
        <v>206</v>
      </c>
      <c r="B71" s="272">
        <v>195</v>
      </c>
      <c r="C71" s="272">
        <f t="shared" si="9"/>
        <v>129.746337890625</v>
      </c>
      <c r="D71" s="272"/>
      <c r="E71" s="272">
        <f t="shared" si="5"/>
        <v>0</v>
      </c>
      <c r="G71" s="272">
        <f t="shared" si="6"/>
        <v>1556.9560546875</v>
      </c>
      <c r="H71" s="272"/>
      <c r="I71" s="250">
        <f t="shared" si="7"/>
        <v>0</v>
      </c>
    </row>
    <row r="72" spans="1:9" x14ac:dyDescent="0.25">
      <c r="A72" s="272" t="s">
        <v>207</v>
      </c>
      <c r="B72" s="272">
        <v>205</v>
      </c>
      <c r="C72" s="272">
        <f t="shared" si="9"/>
        <v>236.44280614278321</v>
      </c>
      <c r="D72" s="272"/>
      <c r="E72" s="272">
        <f t="shared" si="5"/>
        <v>0</v>
      </c>
      <c r="G72" s="272">
        <f t="shared" si="6"/>
        <v>2837.3136737133987</v>
      </c>
      <c r="H72" s="272"/>
      <c r="I72" s="250">
        <f t="shared" si="7"/>
        <v>0</v>
      </c>
    </row>
    <row r="73" spans="1:9" x14ac:dyDescent="0.25">
      <c r="A73" s="272" t="s">
        <v>211</v>
      </c>
      <c r="B73" s="272">
        <v>215</v>
      </c>
      <c r="C73" s="272">
        <f t="shared" si="9"/>
        <v>418.73695569080496</v>
      </c>
      <c r="D73" s="272"/>
      <c r="E73" s="272">
        <f t="shared" si="5"/>
        <v>0</v>
      </c>
      <c r="G73" s="272">
        <f t="shared" si="6"/>
        <v>5024.8434682896595</v>
      </c>
      <c r="H73" s="272">
        <f>25+50</f>
        <v>75</v>
      </c>
      <c r="I73" s="250">
        <f t="shared" si="7"/>
        <v>376863.26012172445</v>
      </c>
    </row>
    <row r="74" spans="1:9" x14ac:dyDescent="0.25">
      <c r="A74" s="272"/>
      <c r="B74" s="272"/>
      <c r="C74" s="272"/>
      <c r="D74" s="272"/>
      <c r="E74" s="272"/>
      <c r="G74" s="250"/>
      <c r="H74" s="250"/>
      <c r="I74" s="250"/>
    </row>
    <row r="75" spans="1:9" x14ac:dyDescent="0.25">
      <c r="A75" s="250"/>
      <c r="B75" s="250"/>
      <c r="C75" s="250"/>
      <c r="D75" s="272">
        <f>SUM(D54:D73)</f>
        <v>340</v>
      </c>
      <c r="E75" s="272">
        <f>SUM(E54:E73)</f>
        <v>11.513108323534389</v>
      </c>
      <c r="F75" s="252"/>
      <c r="G75" s="250"/>
      <c r="H75" s="272">
        <f>SUM(H54:H73)</f>
        <v>150</v>
      </c>
      <c r="I75" s="272">
        <f>SUM(I54:I73)</f>
        <v>377975.69409906602</v>
      </c>
    </row>
    <row r="76" spans="1:9" x14ac:dyDescent="0.25">
      <c r="E76" s="252"/>
      <c r="F76" s="252"/>
      <c r="G76" s="274"/>
      <c r="H76" s="274"/>
      <c r="I76" s="274"/>
    </row>
    <row r="77" spans="1:9" x14ac:dyDescent="0.25">
      <c r="D77" s="255" t="s">
        <v>219</v>
      </c>
      <c r="E77" s="269">
        <f>+(E75+I75)/(D75+H75)</f>
        <v>771.40246368855014</v>
      </c>
      <c r="F77" s="254"/>
      <c r="G77" s="274"/>
      <c r="H77" s="274"/>
      <c r="I77" s="274"/>
    </row>
    <row r="78" spans="1:9" x14ac:dyDescent="0.25">
      <c r="G78" s="274"/>
      <c r="H78" s="274"/>
      <c r="I78" s="274"/>
    </row>
    <row r="79" spans="1:9" x14ac:dyDescent="0.25">
      <c r="A79" s="275" t="s">
        <v>232</v>
      </c>
    </row>
    <row r="81" spans="1:9" x14ac:dyDescent="0.25">
      <c r="A81" s="365" t="s">
        <v>212</v>
      </c>
      <c r="B81" s="365"/>
      <c r="C81" s="365"/>
      <c r="D81" s="365"/>
      <c r="E81" s="365"/>
      <c r="G81" s="365" t="s">
        <v>215</v>
      </c>
      <c r="H81" s="365"/>
      <c r="I81" s="365"/>
    </row>
    <row r="82" spans="1:9" x14ac:dyDescent="0.25">
      <c r="A82" s="270" t="s">
        <v>187</v>
      </c>
      <c r="B82" s="270" t="s">
        <v>208</v>
      </c>
      <c r="C82" s="270" t="s">
        <v>209</v>
      </c>
      <c r="D82" s="270"/>
      <c r="E82" s="270"/>
      <c r="G82" s="270" t="s">
        <v>209</v>
      </c>
      <c r="H82" s="270"/>
      <c r="I82" s="270"/>
    </row>
    <row r="83" spans="1:9" x14ac:dyDescent="0.25">
      <c r="A83" s="270" t="s">
        <v>188</v>
      </c>
      <c r="B83" s="270" t="s">
        <v>188</v>
      </c>
      <c r="C83" s="270" t="s">
        <v>210</v>
      </c>
      <c r="D83" s="270" t="s">
        <v>213</v>
      </c>
      <c r="E83" s="270" t="s">
        <v>214</v>
      </c>
      <c r="G83" s="270" t="s">
        <v>216</v>
      </c>
      <c r="H83" s="270" t="s">
        <v>217</v>
      </c>
      <c r="I83" s="270" t="s">
        <v>218</v>
      </c>
    </row>
    <row r="84" spans="1:9" x14ac:dyDescent="0.25">
      <c r="A84" s="271" t="s">
        <v>189</v>
      </c>
      <c r="B84" s="272">
        <v>20</v>
      </c>
      <c r="C84" s="272">
        <f>1*(B84/130)^12</f>
        <v>1.7580843998409351E-10</v>
      </c>
      <c r="D84" s="272">
        <f>39*5</f>
        <v>195</v>
      </c>
      <c r="E84" s="272">
        <f>+C84*D84</f>
        <v>3.4282645796898238E-8</v>
      </c>
      <c r="G84" s="272">
        <f>12*(B84/130)^12</f>
        <v>2.1097012798091221E-9</v>
      </c>
      <c r="H84" s="272"/>
      <c r="I84" s="250">
        <f>+G84*H84</f>
        <v>0</v>
      </c>
    </row>
    <row r="85" spans="1:9" x14ac:dyDescent="0.25">
      <c r="A85" s="272" t="s">
        <v>190</v>
      </c>
      <c r="B85" s="272">
        <v>35</v>
      </c>
      <c r="C85" s="272">
        <f t="shared" ref="C85:C87" si="10">1*(B85/130)^12</f>
        <v>1.4504284323332356E-7</v>
      </c>
      <c r="D85" s="272"/>
      <c r="E85" s="272">
        <f t="shared" ref="E85:E103" si="11">+C85*D85</f>
        <v>0</v>
      </c>
      <c r="G85" s="272">
        <f t="shared" ref="G85:G103" si="12">12*(B85/130)^12</f>
        <v>1.7405141187998827E-6</v>
      </c>
      <c r="H85" s="272"/>
      <c r="I85" s="250">
        <f>+G85*H85</f>
        <v>0</v>
      </c>
    </row>
    <row r="86" spans="1:9" x14ac:dyDescent="0.25">
      <c r="A86" s="272" t="s">
        <v>191</v>
      </c>
      <c r="B86" s="272">
        <v>45</v>
      </c>
      <c r="C86" s="272">
        <f t="shared" si="10"/>
        <v>2.9595790037009225E-6</v>
      </c>
      <c r="D86" s="272"/>
      <c r="E86" s="272">
        <f t="shared" si="11"/>
        <v>0</v>
      </c>
      <c r="G86" s="272">
        <f t="shared" si="12"/>
        <v>3.5514948044411068E-5</v>
      </c>
      <c r="H86" s="250"/>
      <c r="I86" s="250">
        <f t="shared" ref="I86:I103" si="13">+G86*H86</f>
        <v>0</v>
      </c>
    </row>
    <row r="87" spans="1:9" x14ac:dyDescent="0.25">
      <c r="A87" s="272" t="s">
        <v>192</v>
      </c>
      <c r="B87" s="272">
        <v>55</v>
      </c>
      <c r="C87" s="272">
        <f t="shared" si="10"/>
        <v>3.2887589747496218E-5</v>
      </c>
      <c r="D87" s="272">
        <f>17*5</f>
        <v>85</v>
      </c>
      <c r="E87" s="272">
        <f t="shared" si="11"/>
        <v>2.7954451285371784E-3</v>
      </c>
      <c r="G87" s="272">
        <f t="shared" si="12"/>
        <v>3.9465107696995459E-4</v>
      </c>
      <c r="H87" s="250"/>
      <c r="I87" s="250">
        <f t="shared" si="13"/>
        <v>0</v>
      </c>
    </row>
    <row r="88" spans="1:9" x14ac:dyDescent="0.25">
      <c r="A88" s="272" t="s">
        <v>193</v>
      </c>
      <c r="B88" s="272">
        <v>65</v>
      </c>
      <c r="C88" s="272">
        <f>1*(B88/130)^12</f>
        <v>2.44140625E-4</v>
      </c>
      <c r="D88" s="272">
        <v>195</v>
      </c>
      <c r="E88" s="272">
        <f t="shared" si="11"/>
        <v>4.7607421875E-2</v>
      </c>
      <c r="G88" s="272">
        <f t="shared" si="12"/>
        <v>2.9296875E-3</v>
      </c>
      <c r="H88" s="272">
        <f>16*5</f>
        <v>80</v>
      </c>
      <c r="I88" s="250">
        <f t="shared" si="13"/>
        <v>0.234375</v>
      </c>
    </row>
    <row r="89" spans="1:9" x14ac:dyDescent="0.25">
      <c r="A89" s="272" t="s">
        <v>194</v>
      </c>
      <c r="B89" s="272">
        <v>75</v>
      </c>
      <c r="C89" s="272">
        <f t="shared" ref="C89:C91" si="14">1*(B89/130)^12</f>
        <v>1.3596118246436012E-3</v>
      </c>
      <c r="D89" s="272"/>
      <c r="E89" s="272">
        <f t="shared" si="11"/>
        <v>0</v>
      </c>
      <c r="G89" s="272">
        <f t="shared" si="12"/>
        <v>1.6315341895723215E-2</v>
      </c>
      <c r="H89" s="250"/>
      <c r="I89" s="250">
        <f t="shared" si="13"/>
        <v>0</v>
      </c>
    </row>
    <row r="90" spans="1:9" x14ac:dyDescent="0.25">
      <c r="A90" s="272" t="s">
        <v>195</v>
      </c>
      <c r="B90" s="272">
        <v>85</v>
      </c>
      <c r="C90" s="272">
        <f t="shared" si="14"/>
        <v>6.1052981989030046E-3</v>
      </c>
      <c r="D90" s="272"/>
      <c r="E90" s="272">
        <f t="shared" si="11"/>
        <v>0</v>
      </c>
      <c r="G90" s="272">
        <f t="shared" si="12"/>
        <v>7.3263578386836059E-2</v>
      </c>
      <c r="H90" s="250"/>
      <c r="I90" s="250">
        <f t="shared" si="13"/>
        <v>0</v>
      </c>
    </row>
    <row r="91" spans="1:9" x14ac:dyDescent="0.25">
      <c r="A91" s="272" t="s">
        <v>196</v>
      </c>
      <c r="B91" s="272">
        <v>95</v>
      </c>
      <c r="C91" s="272">
        <f t="shared" si="14"/>
        <v>2.3193326182040046E-2</v>
      </c>
      <c r="D91" s="272"/>
      <c r="E91" s="272">
        <f t="shared" si="11"/>
        <v>0</v>
      </c>
      <c r="G91" s="272">
        <f t="shared" si="12"/>
        <v>0.27831991418448054</v>
      </c>
      <c r="H91" s="250"/>
      <c r="I91" s="250">
        <f t="shared" si="13"/>
        <v>0</v>
      </c>
    </row>
    <row r="92" spans="1:9" x14ac:dyDescent="0.25">
      <c r="A92" s="272" t="s">
        <v>197</v>
      </c>
      <c r="B92" s="272">
        <v>105</v>
      </c>
      <c r="C92" s="272">
        <f>1*(B92/130)^12</f>
        <v>7.7081713650760789E-2</v>
      </c>
      <c r="D92" s="272"/>
      <c r="E92" s="272">
        <f t="shared" si="11"/>
        <v>0</v>
      </c>
      <c r="G92" s="272">
        <f t="shared" si="12"/>
        <v>0.92498056380912952</v>
      </c>
      <c r="H92" s="250"/>
      <c r="I92" s="250">
        <f t="shared" si="13"/>
        <v>0</v>
      </c>
    </row>
    <row r="93" spans="1:9" x14ac:dyDescent="0.25">
      <c r="A93" s="272" t="s">
        <v>198</v>
      </c>
      <c r="B93" s="272">
        <v>115</v>
      </c>
      <c r="C93" s="272">
        <f t="shared" ref="C93:C103" si="15">1*(B93/130)^12</f>
        <v>0.22964334095900002</v>
      </c>
      <c r="D93" s="272">
        <v>85</v>
      </c>
      <c r="E93" s="272">
        <f t="shared" si="11"/>
        <v>19.519683981515001</v>
      </c>
      <c r="G93" s="272">
        <f t="shared" si="12"/>
        <v>2.7557200915080005</v>
      </c>
      <c r="H93" s="250"/>
      <c r="I93" s="250">
        <f t="shared" si="13"/>
        <v>0</v>
      </c>
    </row>
    <row r="94" spans="1:9" x14ac:dyDescent="0.25">
      <c r="A94" s="272" t="s">
        <v>199</v>
      </c>
      <c r="B94" s="272">
        <v>125</v>
      </c>
      <c r="C94" s="272">
        <f t="shared" si="15"/>
        <v>0.62459704958006546</v>
      </c>
      <c r="D94" s="272"/>
      <c r="E94" s="272">
        <f t="shared" si="11"/>
        <v>0</v>
      </c>
      <c r="G94" s="272">
        <f t="shared" si="12"/>
        <v>7.4951645949607855</v>
      </c>
      <c r="H94" s="250"/>
      <c r="I94" s="250">
        <f t="shared" si="13"/>
        <v>0</v>
      </c>
    </row>
    <row r="95" spans="1:9" x14ac:dyDescent="0.25">
      <c r="A95" s="272" t="s">
        <v>200</v>
      </c>
      <c r="B95" s="272">
        <v>135</v>
      </c>
      <c r="C95" s="272">
        <f t="shared" si="15"/>
        <v>1.5728416253058253</v>
      </c>
      <c r="D95" s="272"/>
      <c r="E95" s="272">
        <f t="shared" si="11"/>
        <v>0</v>
      </c>
      <c r="G95" s="272">
        <f t="shared" si="12"/>
        <v>18.874099503669903</v>
      </c>
      <c r="H95" s="272">
        <v>40</v>
      </c>
      <c r="I95" s="250">
        <f t="shared" si="13"/>
        <v>754.96398014679608</v>
      </c>
    </row>
    <row r="96" spans="1:9" x14ac:dyDescent="0.25">
      <c r="A96" s="272" t="s">
        <v>201</v>
      </c>
      <c r="B96" s="272">
        <v>145</v>
      </c>
      <c r="C96" s="272">
        <f t="shared" si="15"/>
        <v>3.70762497655533</v>
      </c>
      <c r="D96" s="272"/>
      <c r="E96" s="272">
        <f t="shared" si="11"/>
        <v>0</v>
      </c>
      <c r="G96" s="272">
        <f t="shared" si="12"/>
        <v>44.49149971866396</v>
      </c>
      <c r="H96" s="272"/>
      <c r="I96" s="250">
        <f t="shared" si="13"/>
        <v>0</v>
      </c>
    </row>
    <row r="97" spans="1:9" x14ac:dyDescent="0.25">
      <c r="A97" s="272" t="s">
        <v>202</v>
      </c>
      <c r="B97" s="272">
        <v>155</v>
      </c>
      <c r="C97" s="272">
        <f t="shared" si="15"/>
        <v>8.2539180070992231</v>
      </c>
      <c r="D97" s="272"/>
      <c r="E97" s="272">
        <f t="shared" si="11"/>
        <v>0</v>
      </c>
      <c r="G97" s="272">
        <f t="shared" si="12"/>
        <v>99.047016085190677</v>
      </c>
      <c r="H97" s="272"/>
      <c r="I97" s="250">
        <f t="shared" si="13"/>
        <v>0</v>
      </c>
    </row>
    <row r="98" spans="1:9" x14ac:dyDescent="0.25">
      <c r="A98" s="272" t="s">
        <v>203</v>
      </c>
      <c r="B98" s="272">
        <v>165</v>
      </c>
      <c r="C98" s="272">
        <f t="shared" si="15"/>
        <v>17.477813582999133</v>
      </c>
      <c r="D98" s="272"/>
      <c r="E98" s="272">
        <f t="shared" si="11"/>
        <v>0</v>
      </c>
      <c r="G98" s="272">
        <f t="shared" si="12"/>
        <v>209.73376299598959</v>
      </c>
      <c r="H98" s="272"/>
      <c r="I98" s="250">
        <f t="shared" si="13"/>
        <v>0</v>
      </c>
    </row>
    <row r="99" spans="1:9" x14ac:dyDescent="0.25">
      <c r="A99" s="272" t="s">
        <v>204</v>
      </c>
      <c r="B99" s="272">
        <v>175</v>
      </c>
      <c r="C99" s="272">
        <f t="shared" si="15"/>
        <v>35.410850398760672</v>
      </c>
      <c r="D99" s="272"/>
      <c r="E99" s="272">
        <f t="shared" si="11"/>
        <v>0</v>
      </c>
      <c r="G99" s="272">
        <f t="shared" si="12"/>
        <v>424.93020478512807</v>
      </c>
      <c r="H99" s="272"/>
      <c r="I99" s="250">
        <f t="shared" si="13"/>
        <v>0</v>
      </c>
    </row>
    <row r="100" spans="1:9" x14ac:dyDescent="0.25">
      <c r="A100" s="272" t="s">
        <v>205</v>
      </c>
      <c r="B100" s="272">
        <v>185</v>
      </c>
      <c r="C100" s="272">
        <f t="shared" si="15"/>
        <v>68.982751526647561</v>
      </c>
      <c r="D100" s="272"/>
      <c r="E100" s="272">
        <f t="shared" si="11"/>
        <v>0</v>
      </c>
      <c r="G100" s="272">
        <f t="shared" si="12"/>
        <v>827.79301831977068</v>
      </c>
      <c r="H100" s="272"/>
      <c r="I100" s="250">
        <f t="shared" si="13"/>
        <v>0</v>
      </c>
    </row>
    <row r="101" spans="1:9" x14ac:dyDescent="0.25">
      <c r="A101" s="272" t="s">
        <v>206</v>
      </c>
      <c r="B101" s="272">
        <v>195</v>
      </c>
      <c r="C101" s="272">
        <f t="shared" si="15"/>
        <v>129.746337890625</v>
      </c>
      <c r="D101" s="272"/>
      <c r="E101" s="272">
        <f t="shared" si="11"/>
        <v>0</v>
      </c>
      <c r="G101" s="272">
        <f t="shared" si="12"/>
        <v>1556.9560546875</v>
      </c>
      <c r="H101" s="272"/>
      <c r="I101" s="250">
        <f t="shared" si="13"/>
        <v>0</v>
      </c>
    </row>
    <row r="102" spans="1:9" x14ac:dyDescent="0.25">
      <c r="A102" s="272" t="s">
        <v>207</v>
      </c>
      <c r="B102" s="272">
        <v>205</v>
      </c>
      <c r="C102" s="272">
        <f t="shared" si="15"/>
        <v>236.44280614278321</v>
      </c>
      <c r="D102" s="272"/>
      <c r="E102" s="272">
        <f t="shared" si="11"/>
        <v>0</v>
      </c>
      <c r="G102" s="272">
        <f t="shared" si="12"/>
        <v>2837.3136737133987</v>
      </c>
      <c r="H102" s="272"/>
      <c r="I102" s="250">
        <f t="shared" si="13"/>
        <v>0</v>
      </c>
    </row>
    <row r="103" spans="1:9" x14ac:dyDescent="0.25">
      <c r="A103" s="272" t="s">
        <v>211</v>
      </c>
      <c r="B103" s="272">
        <v>215</v>
      </c>
      <c r="C103" s="272">
        <f t="shared" si="15"/>
        <v>418.73695569080496</v>
      </c>
      <c r="D103" s="272"/>
      <c r="E103" s="272">
        <f t="shared" si="11"/>
        <v>0</v>
      </c>
      <c r="G103" s="272">
        <f t="shared" si="12"/>
        <v>5024.8434682896595</v>
      </c>
      <c r="H103" s="272">
        <f>40+80</f>
        <v>120</v>
      </c>
      <c r="I103" s="250">
        <f t="shared" si="13"/>
        <v>602981.21619475912</v>
      </c>
    </row>
    <row r="104" spans="1:9" x14ac:dyDescent="0.25">
      <c r="A104" s="272"/>
      <c r="B104" s="272"/>
      <c r="C104" s="272"/>
      <c r="D104" s="272"/>
      <c r="E104" s="272"/>
      <c r="G104" s="250"/>
      <c r="H104" s="250"/>
      <c r="I104" s="250"/>
    </row>
    <row r="105" spans="1:9" x14ac:dyDescent="0.25">
      <c r="A105" s="250"/>
      <c r="B105" s="250"/>
      <c r="C105" s="250"/>
      <c r="D105" s="272">
        <f>SUM(D84:D103)</f>
        <v>560</v>
      </c>
      <c r="E105" s="272">
        <f>SUM(E84:E103)</f>
        <v>19.570086882801185</v>
      </c>
      <c r="G105" s="250"/>
      <c r="H105" s="272">
        <f>SUM(H84:H103)</f>
        <v>240</v>
      </c>
      <c r="I105" s="272">
        <f>SUM(I84:I103)</f>
        <v>603736.41454990592</v>
      </c>
    </row>
    <row r="106" spans="1:9" x14ac:dyDescent="0.25">
      <c r="E106" s="252"/>
    </row>
    <row r="107" spans="1:9" x14ac:dyDescent="0.25">
      <c r="D107" s="255" t="s">
        <v>219</v>
      </c>
      <c r="E107" s="269">
        <f>+(E105+I105)/(D105+H105)</f>
        <v>754.69498079598588</v>
      </c>
    </row>
    <row r="109" spans="1:9" x14ac:dyDescent="0.25">
      <c r="A109" s="275" t="s">
        <v>234</v>
      </c>
    </row>
    <row r="111" spans="1:9" x14ac:dyDescent="0.25">
      <c r="A111" s="365" t="s">
        <v>212</v>
      </c>
      <c r="B111" s="365"/>
      <c r="C111" s="365"/>
      <c r="D111" s="365"/>
      <c r="E111" s="365"/>
      <c r="G111" s="372" t="s">
        <v>215</v>
      </c>
      <c r="H111" s="372"/>
      <c r="I111" s="372"/>
    </row>
    <row r="112" spans="1:9" x14ac:dyDescent="0.25">
      <c r="A112" s="270" t="s">
        <v>187</v>
      </c>
      <c r="B112" s="270" t="s">
        <v>208</v>
      </c>
      <c r="C112" s="270" t="s">
        <v>209</v>
      </c>
      <c r="D112" s="270"/>
      <c r="E112" s="270"/>
      <c r="G112" s="270" t="s">
        <v>209</v>
      </c>
      <c r="H112" s="270"/>
      <c r="I112" s="270"/>
    </row>
    <row r="113" spans="1:9" x14ac:dyDescent="0.25">
      <c r="A113" s="270" t="s">
        <v>188</v>
      </c>
      <c r="B113" s="270" t="s">
        <v>188</v>
      </c>
      <c r="C113" s="270" t="s">
        <v>210</v>
      </c>
      <c r="D113" s="270" t="s">
        <v>213</v>
      </c>
      <c r="E113" s="270" t="s">
        <v>214</v>
      </c>
      <c r="G113" s="270" t="s">
        <v>216</v>
      </c>
      <c r="H113" s="270" t="s">
        <v>217</v>
      </c>
      <c r="I113" s="270" t="s">
        <v>218</v>
      </c>
    </row>
    <row r="114" spans="1:9" x14ac:dyDescent="0.25">
      <c r="A114" s="271" t="s">
        <v>189</v>
      </c>
      <c r="B114" s="272">
        <v>20</v>
      </c>
      <c r="C114" s="272">
        <f>1*(B114/130)^12</f>
        <v>1.7580843998409351E-10</v>
      </c>
      <c r="D114" s="272">
        <f>5*42</f>
        <v>210</v>
      </c>
      <c r="E114" s="272">
        <f>+C114*D114</f>
        <v>3.6919772396659636E-8</v>
      </c>
      <c r="G114" s="272">
        <f>12*(B114/130)^12</f>
        <v>2.1097012798091221E-9</v>
      </c>
      <c r="H114" s="272"/>
      <c r="I114" s="250">
        <f>+G114*H114</f>
        <v>0</v>
      </c>
    </row>
    <row r="115" spans="1:9" x14ac:dyDescent="0.25">
      <c r="A115" s="272" t="s">
        <v>190</v>
      </c>
      <c r="B115" s="272">
        <v>35</v>
      </c>
      <c r="C115" s="272">
        <f t="shared" ref="C115:C117" si="16">1*(B115/130)^12</f>
        <v>1.4504284323332356E-7</v>
      </c>
      <c r="D115" s="272"/>
      <c r="E115" s="272">
        <f t="shared" ref="E115:E133" si="17">+C115*D115</f>
        <v>0</v>
      </c>
      <c r="G115" s="272">
        <f>12*(B115/130)^12</f>
        <v>1.7405141187998827E-6</v>
      </c>
      <c r="H115" s="272"/>
      <c r="I115" s="250">
        <f>+G115*H115</f>
        <v>0</v>
      </c>
    </row>
    <row r="116" spans="1:9" x14ac:dyDescent="0.25">
      <c r="A116" s="272" t="s">
        <v>191</v>
      </c>
      <c r="B116" s="272">
        <v>45</v>
      </c>
      <c r="C116" s="272">
        <f t="shared" si="16"/>
        <v>2.9595790037009225E-6</v>
      </c>
      <c r="D116" s="272"/>
      <c r="E116" s="272">
        <f t="shared" si="17"/>
        <v>0</v>
      </c>
      <c r="G116" s="272">
        <f>12*(B116/130)^12</f>
        <v>3.5514948044411068E-5</v>
      </c>
      <c r="H116" s="250"/>
      <c r="I116" s="250">
        <f t="shared" ref="I116:I133" si="18">+G116*H116</f>
        <v>0</v>
      </c>
    </row>
    <row r="117" spans="1:9" x14ac:dyDescent="0.25">
      <c r="A117" s="272" t="s">
        <v>192</v>
      </c>
      <c r="B117" s="272">
        <v>55</v>
      </c>
      <c r="C117" s="272">
        <f t="shared" si="16"/>
        <v>3.2887589747496218E-5</v>
      </c>
      <c r="D117" s="272">
        <f>18*5</f>
        <v>90</v>
      </c>
      <c r="E117" s="272">
        <f t="shared" si="17"/>
        <v>2.9598830772746597E-3</v>
      </c>
      <c r="G117" s="272">
        <f>12*(B117/130)^12</f>
        <v>3.9465107696995459E-4</v>
      </c>
      <c r="H117" s="250"/>
      <c r="I117" s="250">
        <f t="shared" si="18"/>
        <v>0</v>
      </c>
    </row>
    <row r="118" spans="1:9" x14ac:dyDescent="0.25">
      <c r="A118" s="272" t="s">
        <v>193</v>
      </c>
      <c r="B118" s="272">
        <v>65</v>
      </c>
      <c r="C118" s="272">
        <f>1*(B118/130)^12</f>
        <v>2.44140625E-4</v>
      </c>
      <c r="D118" s="272">
        <v>210</v>
      </c>
      <c r="E118" s="272">
        <f t="shared" si="17"/>
        <v>5.126953125E-2</v>
      </c>
      <c r="G118" s="272">
        <f t="shared" ref="G118:G133" si="19">12*(B118/130)^12</f>
        <v>2.9296875E-3</v>
      </c>
      <c r="H118" s="272">
        <f>17*5</f>
        <v>85</v>
      </c>
      <c r="I118" s="250">
        <f t="shared" si="18"/>
        <v>0.2490234375</v>
      </c>
    </row>
    <row r="119" spans="1:9" x14ac:dyDescent="0.25">
      <c r="A119" s="272" t="s">
        <v>194</v>
      </c>
      <c r="B119" s="272">
        <v>75</v>
      </c>
      <c r="C119" s="272">
        <f t="shared" ref="C119:C121" si="20">1*(B119/130)^12</f>
        <v>1.3596118246436012E-3</v>
      </c>
      <c r="D119" s="272"/>
      <c r="E119" s="272">
        <f t="shared" si="17"/>
        <v>0</v>
      </c>
      <c r="G119" s="272">
        <f t="shared" si="19"/>
        <v>1.6315341895723215E-2</v>
      </c>
      <c r="H119" s="250"/>
      <c r="I119" s="250">
        <f t="shared" si="18"/>
        <v>0</v>
      </c>
    </row>
    <row r="120" spans="1:9" x14ac:dyDescent="0.25">
      <c r="A120" s="272" t="s">
        <v>195</v>
      </c>
      <c r="B120" s="272">
        <v>85</v>
      </c>
      <c r="C120" s="272">
        <f t="shared" si="20"/>
        <v>6.1052981989030046E-3</v>
      </c>
      <c r="D120" s="272"/>
      <c r="E120" s="272">
        <f t="shared" si="17"/>
        <v>0</v>
      </c>
      <c r="G120" s="272">
        <f t="shared" si="19"/>
        <v>7.3263578386836059E-2</v>
      </c>
      <c r="H120" s="250"/>
      <c r="I120" s="250">
        <f t="shared" si="18"/>
        <v>0</v>
      </c>
    </row>
    <row r="121" spans="1:9" x14ac:dyDescent="0.25">
      <c r="A121" s="272" t="s">
        <v>196</v>
      </c>
      <c r="B121" s="272">
        <v>95</v>
      </c>
      <c r="C121" s="272">
        <f t="shared" si="20"/>
        <v>2.3193326182040046E-2</v>
      </c>
      <c r="D121" s="272"/>
      <c r="E121" s="272">
        <f t="shared" si="17"/>
        <v>0</v>
      </c>
      <c r="G121" s="272">
        <f t="shared" si="19"/>
        <v>0.27831991418448054</v>
      </c>
      <c r="H121" s="250"/>
      <c r="I121" s="250">
        <f t="shared" si="18"/>
        <v>0</v>
      </c>
    </row>
    <row r="122" spans="1:9" x14ac:dyDescent="0.25">
      <c r="A122" s="272" t="s">
        <v>197</v>
      </c>
      <c r="B122" s="272">
        <v>105</v>
      </c>
      <c r="C122" s="272">
        <f>1*(B122/130)^12</f>
        <v>7.7081713650760789E-2</v>
      </c>
      <c r="D122" s="272"/>
      <c r="E122" s="272">
        <f t="shared" si="17"/>
        <v>0</v>
      </c>
      <c r="G122" s="272">
        <f t="shared" si="19"/>
        <v>0.92498056380912952</v>
      </c>
      <c r="H122" s="250"/>
      <c r="I122" s="250">
        <f t="shared" si="18"/>
        <v>0</v>
      </c>
    </row>
    <row r="123" spans="1:9" x14ac:dyDescent="0.25">
      <c r="A123" s="272" t="s">
        <v>198</v>
      </c>
      <c r="B123" s="272">
        <v>115</v>
      </c>
      <c r="C123" s="272">
        <f t="shared" ref="C123:C133" si="21">1*(B123/130)^12</f>
        <v>0.22964334095900002</v>
      </c>
      <c r="D123" s="272">
        <f>18*5</f>
        <v>90</v>
      </c>
      <c r="E123" s="272">
        <f t="shared" si="17"/>
        <v>20.667900686310002</v>
      </c>
      <c r="G123" s="272">
        <f t="shared" si="19"/>
        <v>2.7557200915080005</v>
      </c>
      <c r="H123" s="250"/>
      <c r="I123" s="250">
        <f t="shared" si="18"/>
        <v>0</v>
      </c>
    </row>
    <row r="124" spans="1:9" x14ac:dyDescent="0.25">
      <c r="A124" s="272" t="s">
        <v>199</v>
      </c>
      <c r="B124" s="272">
        <v>125</v>
      </c>
      <c r="C124" s="272">
        <f t="shared" si="21"/>
        <v>0.62459704958006546</v>
      </c>
      <c r="D124" s="272"/>
      <c r="E124" s="272">
        <f t="shared" si="17"/>
        <v>0</v>
      </c>
      <c r="G124" s="272">
        <f t="shared" si="19"/>
        <v>7.4951645949607855</v>
      </c>
      <c r="H124" s="250"/>
      <c r="I124" s="250">
        <f t="shared" si="18"/>
        <v>0</v>
      </c>
    </row>
    <row r="125" spans="1:9" x14ac:dyDescent="0.25">
      <c r="A125" s="272" t="s">
        <v>200</v>
      </c>
      <c r="B125" s="272">
        <v>135</v>
      </c>
      <c r="C125" s="272">
        <f t="shared" si="21"/>
        <v>1.5728416253058253</v>
      </c>
      <c r="D125" s="272"/>
      <c r="E125" s="272">
        <f t="shared" si="17"/>
        <v>0</v>
      </c>
      <c r="G125" s="272">
        <f t="shared" si="19"/>
        <v>18.874099503669903</v>
      </c>
      <c r="H125" s="272"/>
      <c r="I125" s="250">
        <f t="shared" si="18"/>
        <v>0</v>
      </c>
    </row>
    <row r="126" spans="1:9" x14ac:dyDescent="0.25">
      <c r="A126" s="272" t="s">
        <v>201</v>
      </c>
      <c r="B126" s="272">
        <v>145</v>
      </c>
      <c r="C126" s="272">
        <f t="shared" si="21"/>
        <v>3.70762497655533</v>
      </c>
      <c r="D126" s="272"/>
      <c r="E126" s="272">
        <f t="shared" si="17"/>
        <v>0</v>
      </c>
      <c r="G126" s="272">
        <f t="shared" si="19"/>
        <v>44.49149971866396</v>
      </c>
      <c r="H126" s="272">
        <v>45</v>
      </c>
      <c r="I126" s="250">
        <f t="shared" si="18"/>
        <v>2002.1174873398782</v>
      </c>
    </row>
    <row r="127" spans="1:9" x14ac:dyDescent="0.25">
      <c r="A127" s="272" t="s">
        <v>202</v>
      </c>
      <c r="B127" s="272">
        <v>155</v>
      </c>
      <c r="C127" s="272">
        <f t="shared" si="21"/>
        <v>8.2539180070992231</v>
      </c>
      <c r="D127" s="272"/>
      <c r="E127" s="272">
        <f t="shared" si="17"/>
        <v>0</v>
      </c>
      <c r="G127" s="272">
        <f t="shared" si="19"/>
        <v>99.047016085190677</v>
      </c>
      <c r="H127" s="272"/>
      <c r="I127" s="250">
        <f t="shared" si="18"/>
        <v>0</v>
      </c>
    </row>
    <row r="128" spans="1:9" x14ac:dyDescent="0.25">
      <c r="A128" s="272" t="s">
        <v>203</v>
      </c>
      <c r="B128" s="272">
        <v>165</v>
      </c>
      <c r="C128" s="272">
        <f t="shared" si="21"/>
        <v>17.477813582999133</v>
      </c>
      <c r="D128" s="272"/>
      <c r="E128" s="272">
        <f t="shared" si="17"/>
        <v>0</v>
      </c>
      <c r="G128" s="272">
        <f t="shared" si="19"/>
        <v>209.73376299598959</v>
      </c>
      <c r="H128" s="272"/>
      <c r="I128" s="250">
        <f t="shared" si="18"/>
        <v>0</v>
      </c>
    </row>
    <row r="129" spans="1:9" x14ac:dyDescent="0.25">
      <c r="A129" s="272" t="s">
        <v>204</v>
      </c>
      <c r="B129" s="272">
        <v>175</v>
      </c>
      <c r="C129" s="272">
        <f t="shared" si="21"/>
        <v>35.410850398760672</v>
      </c>
      <c r="D129" s="272"/>
      <c r="E129" s="272">
        <f t="shared" si="17"/>
        <v>0</v>
      </c>
      <c r="G129" s="272">
        <f t="shared" si="19"/>
        <v>424.93020478512807</v>
      </c>
      <c r="H129" s="272"/>
      <c r="I129" s="250">
        <f t="shared" si="18"/>
        <v>0</v>
      </c>
    </row>
    <row r="130" spans="1:9" x14ac:dyDescent="0.25">
      <c r="A130" s="272" t="s">
        <v>205</v>
      </c>
      <c r="B130" s="272">
        <v>185</v>
      </c>
      <c r="C130" s="272">
        <f t="shared" si="21"/>
        <v>68.982751526647561</v>
      </c>
      <c r="D130" s="272"/>
      <c r="E130" s="272">
        <f t="shared" si="17"/>
        <v>0</v>
      </c>
      <c r="G130" s="272">
        <f t="shared" si="19"/>
        <v>827.79301831977068</v>
      </c>
      <c r="H130" s="272"/>
      <c r="I130" s="250">
        <f t="shared" si="18"/>
        <v>0</v>
      </c>
    </row>
    <row r="131" spans="1:9" x14ac:dyDescent="0.25">
      <c r="A131" s="272" t="s">
        <v>206</v>
      </c>
      <c r="B131" s="272">
        <v>195</v>
      </c>
      <c r="C131" s="272">
        <f t="shared" si="21"/>
        <v>129.746337890625</v>
      </c>
      <c r="D131" s="272"/>
      <c r="E131" s="272">
        <f t="shared" si="17"/>
        <v>0</v>
      </c>
      <c r="G131" s="272">
        <f t="shared" si="19"/>
        <v>1556.9560546875</v>
      </c>
      <c r="H131" s="272"/>
      <c r="I131" s="250">
        <f t="shared" si="18"/>
        <v>0</v>
      </c>
    </row>
    <row r="132" spans="1:9" x14ac:dyDescent="0.25">
      <c r="A132" s="272" t="s">
        <v>207</v>
      </c>
      <c r="B132" s="272">
        <v>205</v>
      </c>
      <c r="C132" s="272">
        <f t="shared" si="21"/>
        <v>236.44280614278321</v>
      </c>
      <c r="D132" s="272"/>
      <c r="E132" s="272">
        <f t="shared" si="17"/>
        <v>0</v>
      </c>
      <c r="G132" s="272">
        <f t="shared" si="19"/>
        <v>2837.3136737133987</v>
      </c>
      <c r="H132" s="272"/>
      <c r="I132" s="250">
        <f t="shared" si="18"/>
        <v>0</v>
      </c>
    </row>
    <row r="133" spans="1:9" x14ac:dyDescent="0.25">
      <c r="A133" s="272" t="s">
        <v>211</v>
      </c>
      <c r="B133" s="272">
        <v>215</v>
      </c>
      <c r="C133" s="272">
        <f t="shared" si="21"/>
        <v>418.73695569080496</v>
      </c>
      <c r="D133" s="272"/>
      <c r="E133" s="272">
        <f t="shared" si="17"/>
        <v>0</v>
      </c>
      <c r="G133" s="272">
        <f t="shared" si="19"/>
        <v>5024.8434682896595</v>
      </c>
      <c r="H133" s="272">
        <f>17*5+45</f>
        <v>130</v>
      </c>
      <c r="I133" s="250">
        <f t="shared" si="18"/>
        <v>653229.65087765572</v>
      </c>
    </row>
    <row r="134" spans="1:9" x14ac:dyDescent="0.25">
      <c r="A134" s="272"/>
      <c r="B134" s="272"/>
      <c r="C134" s="272"/>
      <c r="D134" s="272"/>
      <c r="E134" s="272"/>
      <c r="G134" s="250"/>
      <c r="H134" s="250"/>
      <c r="I134" s="250"/>
    </row>
    <row r="135" spans="1:9" x14ac:dyDescent="0.25">
      <c r="A135" s="250"/>
      <c r="B135" s="250"/>
      <c r="C135" s="250"/>
      <c r="D135" s="272">
        <f>SUM(D114:D133)</f>
        <v>600</v>
      </c>
      <c r="E135" s="272">
        <f>SUM(E114:E133)</f>
        <v>20.722130137557048</v>
      </c>
      <c r="G135" s="250"/>
      <c r="H135" s="272">
        <f>SUM(H114:H133)</f>
        <v>260</v>
      </c>
      <c r="I135" s="272">
        <f>SUM(I114:I133)</f>
        <v>655232.0173884331</v>
      </c>
    </row>
    <row r="136" spans="1:9" x14ac:dyDescent="0.25">
      <c r="E136" s="252"/>
    </row>
    <row r="137" spans="1:9" x14ac:dyDescent="0.25">
      <c r="D137" s="255" t="s">
        <v>219</v>
      </c>
      <c r="E137" s="369">
        <f>+(E135+I134)/(D135+H134)</f>
        <v>3.4536883562595079E-2</v>
      </c>
    </row>
  </sheetData>
  <mergeCells count="11">
    <mergeCell ref="G111:I111"/>
    <mergeCell ref="A1:C1"/>
    <mergeCell ref="A81:E81"/>
    <mergeCell ref="A111:E111"/>
    <mergeCell ref="A51:E51"/>
    <mergeCell ref="D2:I2"/>
    <mergeCell ref="D3:I3"/>
    <mergeCell ref="A21:E21"/>
    <mergeCell ref="G21:I21"/>
    <mergeCell ref="G51:I51"/>
    <mergeCell ref="G81:I8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0684C-9661-48AA-BC65-D022DB45CBCF}">
  <sheetPr>
    <tabColor rgb="FFFFC000"/>
  </sheetPr>
  <dimension ref="A1:L220"/>
  <sheetViews>
    <sheetView showGridLines="0" topLeftCell="A8" zoomScaleNormal="100" workbookViewId="0">
      <selection activeCell="F11" sqref="F11"/>
    </sheetView>
  </sheetViews>
  <sheetFormatPr baseColWidth="10" defaultColWidth="8.85546875" defaultRowHeight="15" x14ac:dyDescent="0.25"/>
  <cols>
    <col min="1" max="1" width="17.28515625" customWidth="1"/>
    <col min="2" max="3" width="11.42578125" customWidth="1"/>
    <col min="4" max="4" width="13.5703125" customWidth="1"/>
    <col min="5" max="10" width="11.42578125" customWidth="1"/>
    <col min="11" max="11" width="9.7109375" customWidth="1"/>
    <col min="12" max="256" width="11.42578125" customWidth="1"/>
  </cols>
  <sheetData>
    <row r="1" spans="1:11" s="2" customFormat="1" ht="15" customHeight="1" x14ac:dyDescent="0.2">
      <c r="A1" s="306" t="s">
        <v>160</v>
      </c>
      <c r="B1" s="307"/>
      <c r="C1" s="307"/>
      <c r="D1" s="307"/>
      <c r="E1" s="307"/>
      <c r="F1" s="307"/>
      <c r="G1" s="307"/>
      <c r="H1" s="307"/>
      <c r="I1" s="307"/>
      <c r="J1" s="307"/>
      <c r="K1" s="308"/>
    </row>
    <row r="2" spans="1:11" s="2" customFormat="1" ht="11.25" customHeight="1" x14ac:dyDescent="0.2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7"/>
    </row>
    <row r="3" spans="1:11" s="3" customFormat="1" ht="11.25" customHeight="1" x14ac:dyDescent="0.2">
      <c r="A3" s="28" t="s">
        <v>5</v>
      </c>
      <c r="K3" s="6"/>
    </row>
    <row r="4" spans="1:11" s="3" customFormat="1" ht="11.25" customHeight="1" x14ac:dyDescent="0.2">
      <c r="A4" s="28"/>
      <c r="K4" s="6"/>
    </row>
    <row r="5" spans="1:11" s="3" customFormat="1" ht="11.25" customHeight="1" x14ac:dyDescent="0.2">
      <c r="A5" s="28"/>
      <c r="K5" s="6"/>
    </row>
    <row r="6" spans="1:11" s="2" customFormat="1" ht="11.25" customHeight="1" x14ac:dyDescent="0.2">
      <c r="A6" s="9" t="s">
        <v>6</v>
      </c>
      <c r="B6" s="18"/>
      <c r="C6" s="18"/>
      <c r="D6" s="11"/>
      <c r="E6" s="12"/>
      <c r="F6" s="12"/>
      <c r="G6" s="13"/>
      <c r="H6" s="14"/>
      <c r="I6" s="15"/>
      <c r="J6" s="16"/>
      <c r="K6" s="17"/>
    </row>
    <row r="7" spans="1:11" s="2" customFormat="1" ht="11.25" customHeight="1" x14ac:dyDescent="0.2">
      <c r="A7" s="9"/>
      <c r="B7" s="18"/>
      <c r="C7" s="18"/>
      <c r="D7" s="11"/>
      <c r="E7" s="12"/>
      <c r="F7" s="12"/>
      <c r="G7" s="13"/>
      <c r="H7" s="14"/>
      <c r="I7" s="15"/>
      <c r="J7" s="16"/>
      <c r="K7" s="17"/>
    </row>
    <row r="8" spans="1:11" s="2" customFormat="1" ht="11.25" customHeight="1" x14ac:dyDescent="0.2">
      <c r="A8" s="9"/>
      <c r="B8" s="18"/>
      <c r="C8" s="18"/>
      <c r="D8" s="11"/>
      <c r="E8" s="12"/>
      <c r="F8" s="12"/>
      <c r="G8" s="13"/>
      <c r="H8" s="14"/>
      <c r="I8" s="15"/>
      <c r="J8" s="16"/>
      <c r="K8" s="17"/>
    </row>
    <row r="9" spans="1:11" s="2" customFormat="1" ht="22.5" customHeight="1" x14ac:dyDescent="0.2">
      <c r="A9" s="10"/>
      <c r="B9" s="19"/>
      <c r="C9" s="19"/>
      <c r="D9" s="304" t="s">
        <v>4</v>
      </c>
      <c r="E9" s="305"/>
      <c r="F9" s="214" t="s">
        <v>7</v>
      </c>
      <c r="G9" s="214" t="s">
        <v>8</v>
      </c>
      <c r="H9" s="19"/>
      <c r="I9" s="19"/>
      <c r="J9" s="19"/>
      <c r="K9" s="20"/>
    </row>
    <row r="10" spans="1:11" s="2" customFormat="1" ht="26.25" customHeight="1" x14ac:dyDescent="0.2">
      <c r="A10" s="21"/>
      <c r="B10" s="15"/>
      <c r="C10" s="22"/>
      <c r="D10" s="309" t="s">
        <v>162</v>
      </c>
      <c r="E10" s="309"/>
      <c r="F10" s="23">
        <v>200</v>
      </c>
      <c r="G10" s="144"/>
      <c r="H10" s="124"/>
      <c r="I10" s="25"/>
      <c r="J10" s="25"/>
      <c r="K10" s="26"/>
    </row>
    <row r="11" spans="1:11" s="2" customFormat="1" ht="15" customHeight="1" x14ac:dyDescent="0.2">
      <c r="A11" s="21"/>
      <c r="B11" s="24"/>
      <c r="C11" s="8"/>
      <c r="D11" s="310" t="s">
        <v>159</v>
      </c>
      <c r="E11" s="310"/>
      <c r="F11" s="209">
        <v>150</v>
      </c>
      <c r="G11" s="123"/>
      <c r="H11" s="25"/>
      <c r="I11" s="25"/>
      <c r="J11" s="25"/>
      <c r="K11" s="26"/>
    </row>
    <row r="12" spans="1:11" s="2" customFormat="1" ht="13.5" customHeight="1" x14ac:dyDescent="0.2">
      <c r="A12" s="21"/>
      <c r="B12" s="24"/>
      <c r="C12" s="8"/>
      <c r="D12" s="310" t="s">
        <v>9</v>
      </c>
      <c r="E12" s="310"/>
      <c r="F12" s="125">
        <v>54</v>
      </c>
      <c r="G12" s="126"/>
      <c r="H12" s="25"/>
      <c r="I12" s="25"/>
      <c r="J12" s="25"/>
      <c r="K12" s="26"/>
    </row>
    <row r="13" spans="1:11" s="2" customFormat="1" ht="34.5" customHeight="1" x14ac:dyDescent="0.2">
      <c r="A13" s="21"/>
      <c r="B13" s="24"/>
      <c r="C13" s="8"/>
      <c r="D13" s="310" t="s">
        <v>10</v>
      </c>
      <c r="E13" s="310"/>
      <c r="F13" s="140" t="s">
        <v>11</v>
      </c>
      <c r="G13" s="143"/>
      <c r="H13" s="25"/>
      <c r="I13" s="25"/>
      <c r="J13" s="25"/>
      <c r="K13" s="26"/>
    </row>
    <row r="14" spans="1:11" s="3" customFormat="1" ht="10.5" customHeight="1" x14ac:dyDescent="0.25">
      <c r="A14" s="97"/>
      <c r="B14" s="98"/>
      <c r="C14" s="27"/>
      <c r="D14" s="27"/>
      <c r="E14" s="27"/>
      <c r="F14" s="27"/>
      <c r="G14" s="27"/>
      <c r="H14" s="98"/>
      <c r="I14" s="98"/>
      <c r="J14" s="98"/>
      <c r="K14" s="99"/>
    </row>
    <row r="15" spans="1:11" s="3" customFormat="1" ht="10.5" customHeight="1" x14ac:dyDescent="0.25">
      <c r="A15" s="97"/>
      <c r="B15" s="98"/>
      <c r="C15" s="27"/>
      <c r="D15" s="27"/>
      <c r="E15" s="27"/>
      <c r="F15" s="27"/>
      <c r="G15" s="27"/>
      <c r="H15" s="98"/>
      <c r="I15" s="98"/>
      <c r="J15" s="98"/>
      <c r="K15" s="99"/>
    </row>
    <row r="16" spans="1:11" s="3" customFormat="1" ht="11.25" customHeight="1" x14ac:dyDescent="0.2">
      <c r="A16" s="30" t="s">
        <v>12</v>
      </c>
      <c r="K16" s="6"/>
    </row>
    <row r="17" spans="1:11" s="3" customFormat="1" ht="11.25" customHeight="1" x14ac:dyDescent="0.2">
      <c r="A17" s="30"/>
      <c r="K17" s="6"/>
    </row>
    <row r="18" spans="1:11" s="3" customFormat="1" ht="11.25" customHeight="1" x14ac:dyDescent="0.2">
      <c r="A18" s="28"/>
      <c r="K18" s="6"/>
    </row>
    <row r="19" spans="1:11" s="3" customFormat="1" ht="11.25" customHeight="1" x14ac:dyDescent="0.2">
      <c r="A19" s="40" t="s">
        <v>13</v>
      </c>
      <c r="C19" s="311" t="s">
        <v>14</v>
      </c>
      <c r="D19" s="311"/>
      <c r="E19" s="32">
        <f>5.9/2</f>
        <v>2.95</v>
      </c>
      <c r="F19" s="33" t="s">
        <v>2</v>
      </c>
      <c r="G19" s="312"/>
      <c r="H19" s="312"/>
      <c r="I19" s="225"/>
      <c r="J19" s="320"/>
      <c r="K19" s="226"/>
    </row>
    <row r="20" spans="1:11" s="3" customFormat="1" ht="11.25" customHeight="1" x14ac:dyDescent="0.2">
      <c r="A20" s="29"/>
      <c r="C20" s="322" t="s">
        <v>17</v>
      </c>
      <c r="D20" s="322"/>
      <c r="E20" s="32">
        <v>3</v>
      </c>
      <c r="F20" s="33" t="s">
        <v>2</v>
      </c>
      <c r="G20" s="321"/>
      <c r="H20" s="321"/>
      <c r="I20" s="227"/>
      <c r="J20" s="320"/>
      <c r="K20" s="228"/>
    </row>
    <row r="21" spans="1:11" s="3" customFormat="1" ht="11.25" customHeight="1" x14ac:dyDescent="0.2">
      <c r="A21" s="29"/>
      <c r="B21" s="211" t="s">
        <v>20</v>
      </c>
      <c r="C21" s="322" t="s">
        <v>21</v>
      </c>
      <c r="D21" s="322"/>
      <c r="E21" s="37">
        <v>3</v>
      </c>
      <c r="F21" s="33" t="s">
        <v>2</v>
      </c>
      <c r="G21" s="214" t="s">
        <v>22</v>
      </c>
      <c r="H21" s="229">
        <f>E21/E19</f>
        <v>1.0169491525423728</v>
      </c>
      <c r="I21" s="318" t="s">
        <v>156</v>
      </c>
      <c r="J21" s="318"/>
      <c r="K21" s="319"/>
    </row>
    <row r="22" spans="1:11" s="3" customFormat="1" ht="11.25" customHeight="1" x14ac:dyDescent="0.2">
      <c r="A22" s="29"/>
      <c r="K22" s="6"/>
    </row>
    <row r="23" spans="1:11" s="3" customFormat="1" ht="11.25" customHeight="1" x14ac:dyDescent="0.2">
      <c r="A23" s="29"/>
      <c r="K23" s="6"/>
    </row>
    <row r="24" spans="1:11" s="3" customFormat="1" ht="11.25" customHeight="1" x14ac:dyDescent="0.2">
      <c r="A24" s="28" t="s">
        <v>23</v>
      </c>
      <c r="K24" s="6"/>
    </row>
    <row r="25" spans="1:11" s="3" customFormat="1" ht="11.25" customHeight="1" x14ac:dyDescent="0.2">
      <c r="A25" s="28"/>
      <c r="K25" s="6"/>
    </row>
    <row r="26" spans="1:11" s="3" customFormat="1" ht="11.25" customHeight="1" x14ac:dyDescent="0.2">
      <c r="A26" s="28"/>
      <c r="K26" s="6"/>
    </row>
    <row r="27" spans="1:11" s="3" customFormat="1" ht="11.25" customHeight="1" x14ac:dyDescent="0.2">
      <c r="A27" s="41" t="s">
        <v>24</v>
      </c>
      <c r="B27" s="4" t="s">
        <v>25</v>
      </c>
      <c r="C27" s="4"/>
      <c r="G27" s="223"/>
      <c r="H27" s="224"/>
      <c r="I27" s="165"/>
      <c r="K27" s="6"/>
    </row>
    <row r="28" spans="1:11" s="3" customFormat="1" ht="11.25" customHeight="1" x14ac:dyDescent="0.2">
      <c r="A28" s="139"/>
      <c r="B28" s="4"/>
      <c r="C28" s="4"/>
      <c r="G28" s="127"/>
      <c r="H28" s="138"/>
      <c r="I28" s="165"/>
      <c r="K28" s="6"/>
    </row>
    <row r="29" spans="1:11" s="3" customFormat="1" ht="11.25" customHeight="1" x14ac:dyDescent="0.2">
      <c r="A29" s="139"/>
      <c r="B29" s="4"/>
      <c r="C29" s="4"/>
      <c r="K29" s="6"/>
    </row>
    <row r="30" spans="1:11" s="3" customFormat="1" ht="11.25" customHeight="1" x14ac:dyDescent="0.2">
      <c r="A30" s="30" t="s">
        <v>26</v>
      </c>
      <c r="B30" s="127"/>
      <c r="C30" s="138"/>
      <c r="D30" s="33"/>
      <c r="E30" s="38"/>
      <c r="G30" s="33"/>
      <c r="H30" s="33"/>
      <c r="I30" s="33"/>
      <c r="J30" s="33"/>
      <c r="K30" s="6"/>
    </row>
    <row r="31" spans="1:11" s="3" customFormat="1" ht="11.25" customHeight="1" x14ac:dyDescent="0.2">
      <c r="A31" s="30"/>
      <c r="B31" s="127"/>
      <c r="C31" s="138"/>
      <c r="D31" s="33"/>
      <c r="E31" s="38"/>
      <c r="G31" s="33"/>
      <c r="H31" s="33"/>
      <c r="I31" s="33"/>
      <c r="J31" s="33"/>
      <c r="K31" s="6"/>
    </row>
    <row r="32" spans="1:11" s="3" customFormat="1" ht="11.25" customHeight="1" x14ac:dyDescent="0.2">
      <c r="A32" s="29"/>
      <c r="B32" s="127"/>
      <c r="C32" s="138"/>
      <c r="D32" s="33"/>
      <c r="E32" s="38"/>
      <c r="G32" s="33"/>
      <c r="H32" s="33"/>
      <c r="I32" s="33"/>
      <c r="J32" s="33"/>
      <c r="K32" s="6"/>
    </row>
    <row r="33" spans="1:11" s="3" customFormat="1" ht="11.25" customHeight="1" x14ac:dyDescent="0.2">
      <c r="A33" s="39"/>
      <c r="C33" s="40" t="s">
        <v>27</v>
      </c>
      <c r="D33" s="40" t="s">
        <v>28</v>
      </c>
      <c r="E33" s="41" t="s">
        <v>29</v>
      </c>
      <c r="G33" s="44"/>
      <c r="K33" s="6"/>
    </row>
    <row r="34" spans="1:11" s="3" customFormat="1" ht="11.25" customHeight="1" x14ac:dyDescent="0.2">
      <c r="A34" s="39"/>
      <c r="C34" s="42">
        <f>E21</f>
        <v>3</v>
      </c>
      <c r="D34" s="42">
        <f>E19</f>
        <v>2.95</v>
      </c>
      <c r="E34" s="42">
        <f>F10/1000</f>
        <v>0.2</v>
      </c>
      <c r="K34" s="6"/>
    </row>
    <row r="35" spans="1:11" s="3" customFormat="1" ht="11.25" customHeight="1" x14ac:dyDescent="0.2">
      <c r="A35" s="29"/>
      <c r="C35" s="40" t="s">
        <v>30</v>
      </c>
      <c r="D35" s="40" t="s">
        <v>31</v>
      </c>
      <c r="E35" s="41" t="s">
        <v>32</v>
      </c>
      <c r="F35" s="4"/>
      <c r="G35" s="163"/>
      <c r="K35" s="6"/>
    </row>
    <row r="36" spans="1:11" s="3" customFormat="1" ht="11.25" customHeight="1" x14ac:dyDescent="0.2">
      <c r="A36" s="29"/>
      <c r="C36" s="43">
        <f>C34/0.0254</f>
        <v>118.11023622047244</v>
      </c>
      <c r="D36" s="43">
        <f>D34/0.0254</f>
        <v>116.14173228346458</v>
      </c>
      <c r="E36" s="43">
        <f>E34/0.0254</f>
        <v>7.8740157480314972</v>
      </c>
      <c r="K36" s="6"/>
    </row>
    <row r="37" spans="1:11" s="3" customFormat="1" ht="11.25" customHeight="1" x14ac:dyDescent="0.2">
      <c r="A37" s="29"/>
      <c r="K37" s="6"/>
    </row>
    <row r="38" spans="1:11" s="3" customFormat="1" ht="11.25" customHeight="1" x14ac:dyDescent="0.2">
      <c r="A38" s="52"/>
      <c r="D38" s="25"/>
      <c r="E38" s="25"/>
      <c r="F38" s="25"/>
      <c r="G38" s="25"/>
      <c r="H38" s="44"/>
      <c r="I38" s="47"/>
      <c r="J38" s="44"/>
      <c r="K38" s="6"/>
    </row>
    <row r="39" spans="1:11" s="3" customFormat="1" ht="10.5" customHeight="1" x14ac:dyDescent="0.2">
      <c r="A39" s="29"/>
      <c r="B39" s="44"/>
      <c r="I39" s="47"/>
      <c r="J39" s="44"/>
      <c r="K39" s="6"/>
    </row>
    <row r="40" spans="1:11" s="3" customFormat="1" ht="10.5" customHeight="1" x14ac:dyDescent="0.2">
      <c r="A40" s="29"/>
      <c r="I40" s="47"/>
      <c r="J40" s="44"/>
      <c r="K40" s="6"/>
    </row>
    <row r="41" spans="1:11" s="3" customFormat="1" ht="10.5" customHeight="1" x14ac:dyDescent="0.2">
      <c r="A41" s="29"/>
      <c r="I41" s="47"/>
      <c r="J41" s="44"/>
      <c r="K41" s="6"/>
    </row>
    <row r="42" spans="1:11" s="3" customFormat="1" ht="15" customHeight="1" x14ac:dyDescent="0.2">
      <c r="A42" s="29"/>
      <c r="I42" s="47"/>
      <c r="J42" s="44"/>
      <c r="K42" s="6"/>
    </row>
    <row r="43" spans="1:11" s="3" customFormat="1" ht="15" customHeight="1" x14ac:dyDescent="0.2">
      <c r="A43" s="29"/>
      <c r="B43" s="164"/>
      <c r="H43" s="142"/>
      <c r="I43" s="47"/>
      <c r="J43" s="163"/>
      <c r="K43" s="6"/>
    </row>
    <row r="44" spans="1:11" s="3" customFormat="1" ht="10.5" customHeight="1" x14ac:dyDescent="0.2">
      <c r="A44" s="29"/>
      <c r="I44" s="47"/>
      <c r="J44" s="44"/>
      <c r="K44" s="6"/>
    </row>
    <row r="45" spans="1:11" s="3" customFormat="1" ht="10.5" customHeight="1" x14ac:dyDescent="0.2">
      <c r="A45" s="113"/>
      <c r="B45" s="114"/>
      <c r="C45" s="114"/>
      <c r="D45" s="114"/>
      <c r="E45" s="114"/>
      <c r="F45" s="114"/>
      <c r="G45" s="114"/>
      <c r="H45" s="114"/>
      <c r="I45" s="57"/>
      <c r="J45" s="154"/>
      <c r="K45" s="115"/>
    </row>
    <row r="46" spans="1:11" s="33" customFormat="1" ht="11.25" customHeight="1" x14ac:dyDescent="0.2">
      <c r="A46" s="155" t="s">
        <v>33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41"/>
    </row>
    <row r="47" spans="1:11" s="33" customFormat="1" ht="11.25" customHeight="1" x14ac:dyDescent="0.2">
      <c r="A47" s="28"/>
      <c r="K47" s="53"/>
    </row>
    <row r="48" spans="1:11" s="33" customFormat="1" ht="11.25" customHeight="1" x14ac:dyDescent="0.2">
      <c r="A48" s="54"/>
      <c r="K48" s="53"/>
    </row>
    <row r="49" spans="1:11" s="33" customFormat="1" ht="11.25" customHeight="1" x14ac:dyDescent="0.2">
      <c r="A49" s="52" t="s">
        <v>34</v>
      </c>
      <c r="K49" s="53"/>
    </row>
    <row r="50" spans="1:11" s="33" customFormat="1" ht="11.25" customHeight="1" x14ac:dyDescent="0.2">
      <c r="A50" s="52"/>
      <c r="K50" s="53"/>
    </row>
    <row r="51" spans="1:11" s="33" customFormat="1" ht="11.25" customHeight="1" x14ac:dyDescent="0.2">
      <c r="A51" s="54"/>
      <c r="K51" s="53"/>
    </row>
    <row r="52" spans="1:11" s="33" customFormat="1" ht="11.25" customHeight="1" x14ac:dyDescent="0.2">
      <c r="A52" s="211" t="s">
        <v>35</v>
      </c>
      <c r="B52" s="211" t="s">
        <v>36</v>
      </c>
      <c r="C52" s="211">
        <v>4200</v>
      </c>
      <c r="D52" s="66" t="s">
        <v>3</v>
      </c>
      <c r="E52" s="211">
        <f>C52/0.07</f>
        <v>59999.999999999993</v>
      </c>
      <c r="F52" s="66" t="s">
        <v>37</v>
      </c>
      <c r="K52" s="53"/>
    </row>
    <row r="53" spans="1:11" s="33" customFormat="1" ht="11.25" customHeight="1" x14ac:dyDescent="0.2">
      <c r="A53" s="211" t="s">
        <v>38</v>
      </c>
      <c r="B53" s="61" t="s">
        <v>39</v>
      </c>
      <c r="C53" s="211">
        <v>12.7</v>
      </c>
      <c r="D53" s="66" t="s">
        <v>40</v>
      </c>
      <c r="E53" s="62">
        <f>C53/25.4</f>
        <v>0.5</v>
      </c>
      <c r="F53" s="66" t="s">
        <v>41</v>
      </c>
      <c r="K53" s="53"/>
    </row>
    <row r="54" spans="1:11" s="33" customFormat="1" ht="11.25" customHeight="1" x14ac:dyDescent="0.2">
      <c r="A54" s="315" t="s">
        <v>42</v>
      </c>
      <c r="B54" s="317"/>
      <c r="C54" s="211" t="s">
        <v>43</v>
      </c>
      <c r="K54" s="53"/>
    </row>
    <row r="55" spans="1:11" s="33" customFormat="1" ht="11.25" customHeight="1" x14ac:dyDescent="0.2">
      <c r="A55" s="48"/>
      <c r="B55" s="63"/>
      <c r="K55" s="53"/>
    </row>
    <row r="56" spans="1:11" s="33" customFormat="1" ht="11.25" customHeight="1" x14ac:dyDescent="0.2">
      <c r="A56" s="70" t="s">
        <v>44</v>
      </c>
      <c r="K56" s="53"/>
    </row>
    <row r="57" spans="1:11" s="33" customFormat="1" ht="11.25" customHeight="1" x14ac:dyDescent="0.2">
      <c r="A57" s="315" t="s">
        <v>45</v>
      </c>
      <c r="B57" s="316"/>
      <c r="C57" s="317"/>
      <c r="D57" s="313" t="s">
        <v>13</v>
      </c>
      <c r="E57" s="314"/>
      <c r="K57" s="53"/>
    </row>
    <row r="58" spans="1:11" s="33" customFormat="1" ht="11.25" customHeight="1" x14ac:dyDescent="0.2">
      <c r="A58" s="315" t="s">
        <v>46</v>
      </c>
      <c r="B58" s="316"/>
      <c r="C58" s="317"/>
      <c r="D58" s="193" t="s">
        <v>157</v>
      </c>
      <c r="E58" s="194"/>
      <c r="F58" s="195"/>
      <c r="G58" s="212"/>
      <c r="K58" s="53"/>
    </row>
    <row r="59" spans="1:11" s="33" customFormat="1" ht="11.25" customHeight="1" x14ac:dyDescent="0.2">
      <c r="A59" s="315" t="s">
        <v>47</v>
      </c>
      <c r="B59" s="316"/>
      <c r="C59" s="317"/>
      <c r="D59" s="326" t="s">
        <v>48</v>
      </c>
      <c r="E59" s="327"/>
      <c r="F59" s="327"/>
      <c r="G59" s="328"/>
      <c r="K59" s="53"/>
    </row>
    <row r="60" spans="1:11" s="33" customFormat="1" ht="11.25" customHeight="1" x14ac:dyDescent="0.2">
      <c r="A60" s="54"/>
      <c r="K60" s="53"/>
    </row>
    <row r="61" spans="1:11" s="33" customFormat="1" ht="11.25" customHeight="1" x14ac:dyDescent="0.2">
      <c r="A61" s="54"/>
      <c r="K61" s="53"/>
    </row>
    <row r="62" spans="1:11" s="33" customFormat="1" ht="11.25" customHeight="1" x14ac:dyDescent="0.2">
      <c r="A62" s="70" t="s">
        <v>49</v>
      </c>
      <c r="B62" s="64"/>
      <c r="E62" s="65"/>
      <c r="K62" s="53"/>
    </row>
    <row r="63" spans="1:11" s="33" customFormat="1" ht="11.25" customHeight="1" x14ac:dyDescent="0.2">
      <c r="A63" s="211" t="s">
        <v>50</v>
      </c>
      <c r="B63" s="211" t="s">
        <v>51</v>
      </c>
      <c r="C63" s="128">
        <f>($D$34-0.2)</f>
        <v>2.75</v>
      </c>
      <c r="D63" s="66" t="s">
        <v>52</v>
      </c>
      <c r="E63" s="66"/>
      <c r="K63" s="53"/>
    </row>
    <row r="64" spans="1:11" s="33" customFormat="1" ht="11.25" customHeight="1" x14ac:dyDescent="0.2">
      <c r="A64" s="67" t="s">
        <v>53</v>
      </c>
      <c r="B64" s="67" t="s">
        <v>54</v>
      </c>
      <c r="C64" s="211">
        <v>0.2</v>
      </c>
      <c r="D64" s="66" t="s">
        <v>52</v>
      </c>
      <c r="K64" s="53"/>
    </row>
    <row r="65" spans="1:11" s="33" customFormat="1" ht="11.25" customHeight="1" x14ac:dyDescent="0.2">
      <c r="A65" s="213" t="s">
        <v>55</v>
      </c>
      <c r="B65" s="179">
        <f>($C$34)/($C$64)</f>
        <v>15</v>
      </c>
      <c r="C65" s="68"/>
      <c r="K65" s="53"/>
    </row>
    <row r="66" spans="1:11" s="33" customFormat="1" ht="11.25" customHeight="1" x14ac:dyDescent="0.2">
      <c r="A66" s="93"/>
      <c r="B66" s="177"/>
      <c r="C66" s="178"/>
      <c r="K66" s="53"/>
    </row>
    <row r="67" spans="1:11" s="33" customFormat="1" ht="11.25" customHeight="1" x14ac:dyDescent="0.2">
      <c r="A67" s="54"/>
      <c r="K67" s="53"/>
    </row>
    <row r="68" spans="1:11" s="33" customFormat="1" ht="11.25" customHeight="1" x14ac:dyDescent="0.2">
      <c r="A68" s="70" t="s">
        <v>56</v>
      </c>
      <c r="B68" s="64"/>
      <c r="E68" s="65"/>
      <c r="K68" s="53"/>
    </row>
    <row r="69" spans="1:11" s="33" customFormat="1" ht="11.25" customHeight="1" x14ac:dyDescent="0.2">
      <c r="A69" s="211" t="s">
        <v>50</v>
      </c>
      <c r="B69" s="211" t="s">
        <v>51</v>
      </c>
      <c r="C69" s="128">
        <f>($C$34-0.2)</f>
        <v>2.8</v>
      </c>
      <c r="D69" s="66" t="s">
        <v>52</v>
      </c>
      <c r="E69" s="66"/>
      <c r="K69" s="53"/>
    </row>
    <row r="70" spans="1:11" s="33" customFormat="1" ht="11.25" customHeight="1" x14ac:dyDescent="0.2">
      <c r="A70" s="67" t="s">
        <v>53</v>
      </c>
      <c r="B70" s="67" t="s">
        <v>54</v>
      </c>
      <c r="C70" s="211">
        <v>0.2</v>
      </c>
      <c r="D70" s="66" t="s">
        <v>52</v>
      </c>
      <c r="K70" s="53"/>
    </row>
    <row r="71" spans="1:11" s="33" customFormat="1" ht="11.25" customHeight="1" x14ac:dyDescent="0.2">
      <c r="A71" s="213" t="s">
        <v>55</v>
      </c>
      <c r="B71" s="179">
        <f>($D$34)/($C$70)</f>
        <v>14.75</v>
      </c>
      <c r="C71" s="68"/>
      <c r="K71" s="53"/>
    </row>
    <row r="72" spans="1:11" s="33" customFormat="1" ht="11.25" customHeight="1" x14ac:dyDescent="0.2">
      <c r="A72" s="54"/>
      <c r="D72" s="162"/>
      <c r="E72" s="162"/>
      <c r="F72" s="162"/>
      <c r="G72" s="162"/>
      <c r="H72" s="47"/>
      <c r="I72" s="47"/>
      <c r="J72" s="332"/>
      <c r="K72" s="333"/>
    </row>
    <row r="73" spans="1:11" s="33" customFormat="1" ht="11.25" customHeight="1" x14ac:dyDescent="0.2">
      <c r="A73" s="54"/>
      <c r="I73" s="47"/>
      <c r="K73" s="53"/>
    </row>
    <row r="74" spans="1:11" s="33" customFormat="1" ht="11.25" customHeight="1" x14ac:dyDescent="0.2">
      <c r="A74" s="54"/>
      <c r="K74" s="53"/>
    </row>
    <row r="75" spans="1:11" s="33" customFormat="1" ht="11.25" customHeight="1" x14ac:dyDescent="0.25">
      <c r="A75" s="93"/>
      <c r="B75"/>
      <c r="C75"/>
      <c r="D75"/>
      <c r="E75"/>
      <c r="F75"/>
      <c r="G75" s="3"/>
      <c r="H75" s="3"/>
      <c r="I75" s="3"/>
      <c r="J75" s="3"/>
      <c r="K75" s="217"/>
    </row>
    <row r="76" spans="1:11" s="33" customFormat="1" ht="11.25" customHeight="1" x14ac:dyDescent="0.2">
      <c r="A76" s="54"/>
      <c r="D76" s="44"/>
      <c r="I76" s="44"/>
      <c r="K76" s="53"/>
    </row>
    <row r="77" spans="1:11" s="33" customFormat="1" ht="11.25" customHeight="1" x14ac:dyDescent="0.2">
      <c r="A77" s="186"/>
      <c r="B77" s="4"/>
      <c r="K77" s="53"/>
    </row>
    <row r="78" spans="1:11" s="33" customFormat="1" ht="11.25" customHeight="1" x14ac:dyDescent="0.2">
      <c r="A78" s="186"/>
      <c r="B78" s="162"/>
      <c r="C78" s="162"/>
      <c r="D78" s="162"/>
      <c r="E78" s="162"/>
      <c r="F78" s="162"/>
      <c r="G78" s="47"/>
      <c r="H78" s="47"/>
      <c r="J78" s="47"/>
      <c r="K78" s="46"/>
    </row>
    <row r="79" spans="1:11" s="33" customFormat="1" ht="11.25" customHeight="1" x14ac:dyDescent="0.2">
      <c r="A79" s="54"/>
      <c r="D79" s="162"/>
      <c r="E79" s="162"/>
      <c r="F79" s="162"/>
      <c r="G79" s="162"/>
      <c r="H79" s="162"/>
      <c r="K79" s="53"/>
    </row>
    <row r="80" spans="1:11" s="33" customFormat="1" ht="11.25" customHeight="1" x14ac:dyDescent="0.2">
      <c r="A80" s="54"/>
      <c r="B80" s="175"/>
      <c r="C80" s="175"/>
      <c r="D80" s="175"/>
      <c r="E80" s="175"/>
      <c r="F80" s="175"/>
      <c r="H80" s="176"/>
      <c r="I80" s="176"/>
      <c r="J80" s="176"/>
      <c r="K80" s="53"/>
    </row>
    <row r="81" spans="1:11" s="33" customFormat="1" ht="11.25" customHeight="1" x14ac:dyDescent="0.2">
      <c r="A81" s="54"/>
      <c r="K81" s="53"/>
    </row>
    <row r="82" spans="1:11" s="33" customFormat="1" ht="11.25" customHeight="1" x14ac:dyDescent="0.2">
      <c r="A82" s="54"/>
      <c r="E82" s="59"/>
      <c r="F82" s="142"/>
      <c r="G82" s="44"/>
      <c r="K82" s="53"/>
    </row>
    <row r="83" spans="1:11" s="33" customFormat="1" ht="11.25" customHeight="1" x14ac:dyDescent="0.2">
      <c r="A83" s="54"/>
      <c r="E83" s="59"/>
      <c r="F83" s="44"/>
      <c r="G83" s="44"/>
      <c r="K83" s="53"/>
    </row>
    <row r="84" spans="1:11" s="33" customFormat="1" ht="11.25" customHeight="1" x14ac:dyDescent="0.2">
      <c r="A84" s="54"/>
      <c r="E84" s="59"/>
      <c r="F84" s="44"/>
      <c r="G84" s="44"/>
      <c r="K84" s="53"/>
    </row>
    <row r="85" spans="1:11" s="33" customFormat="1" ht="11.25" customHeight="1" x14ac:dyDescent="0.2">
      <c r="A85" s="54"/>
      <c r="E85" s="59"/>
      <c r="F85" s="44"/>
      <c r="G85" s="63"/>
      <c r="H85" s="45"/>
      <c r="K85" s="53"/>
    </row>
    <row r="86" spans="1:11" s="33" customFormat="1" ht="11.25" customHeight="1" x14ac:dyDescent="0.2">
      <c r="A86" s="54"/>
      <c r="E86" s="59"/>
      <c r="F86" s="44"/>
      <c r="G86" s="63"/>
      <c r="H86" s="45"/>
      <c r="K86" s="53"/>
    </row>
    <row r="87" spans="1:11" s="33" customFormat="1" ht="11.25" customHeight="1" x14ac:dyDescent="0.2">
      <c r="A87" s="54"/>
      <c r="E87" s="59"/>
      <c r="F87" s="44"/>
      <c r="G87" s="63"/>
      <c r="H87" s="45"/>
      <c r="K87" s="53"/>
    </row>
    <row r="88" spans="1:11" s="33" customFormat="1" ht="11.25" customHeight="1" x14ac:dyDescent="0.2">
      <c r="A88" s="54"/>
      <c r="E88" s="59"/>
      <c r="F88" s="44"/>
      <c r="G88" s="63"/>
      <c r="H88" s="45"/>
      <c r="K88" s="53"/>
    </row>
    <row r="89" spans="1:11" s="33" customFormat="1" ht="11.25" customHeight="1" x14ac:dyDescent="0.2">
      <c r="A89" s="54"/>
      <c r="E89" s="59"/>
      <c r="F89" s="44"/>
      <c r="G89" s="63"/>
      <c r="H89" s="45"/>
      <c r="K89" s="53"/>
    </row>
    <row r="90" spans="1:11" s="33" customFormat="1" ht="11.25" customHeight="1" x14ac:dyDescent="0.2">
      <c r="A90" s="54"/>
      <c r="E90" s="59"/>
      <c r="F90" s="44"/>
      <c r="G90" s="63"/>
      <c r="H90" s="45"/>
      <c r="K90" s="53"/>
    </row>
    <row r="91" spans="1:11" s="33" customFormat="1" ht="11.25" customHeight="1" x14ac:dyDescent="0.2">
      <c r="A91" s="54"/>
      <c r="E91" s="59"/>
      <c r="F91" s="44"/>
      <c r="G91" s="63"/>
      <c r="H91" s="45"/>
      <c r="K91" s="53"/>
    </row>
    <row r="92" spans="1:11" s="33" customFormat="1" ht="11.25" customHeight="1" x14ac:dyDescent="0.2">
      <c r="A92" s="54"/>
      <c r="E92" s="59"/>
      <c r="F92" s="44"/>
      <c r="G92" s="63"/>
      <c r="H92" s="45"/>
      <c r="K92" s="53"/>
    </row>
    <row r="93" spans="1:11" s="33" customFormat="1" ht="11.25" customHeight="1" x14ac:dyDescent="0.2">
      <c r="A93" s="54"/>
      <c r="E93" s="59"/>
      <c r="F93" s="44"/>
      <c r="G93" s="63"/>
      <c r="H93" s="45"/>
      <c r="K93" s="53"/>
    </row>
    <row r="94" spans="1:11" s="33" customFormat="1" ht="11.25" customHeight="1" x14ac:dyDescent="0.2">
      <c r="A94" s="54"/>
      <c r="E94" s="59"/>
      <c r="F94" s="44"/>
      <c r="G94" s="44"/>
      <c r="K94" s="53"/>
    </row>
    <row r="95" spans="1:11" s="33" customFormat="1" ht="11.25" customHeight="1" x14ac:dyDescent="0.2">
      <c r="A95" s="54"/>
      <c r="E95" s="59"/>
      <c r="F95" s="44"/>
      <c r="G95" s="44"/>
      <c r="K95" s="53"/>
    </row>
    <row r="96" spans="1:11" s="33" customFormat="1" ht="11.25" customHeight="1" x14ac:dyDescent="0.2">
      <c r="A96" s="145"/>
      <c r="B96" s="56"/>
      <c r="C96" s="56"/>
      <c r="D96" s="56"/>
      <c r="E96" s="187"/>
      <c r="F96" s="154"/>
      <c r="G96" s="188"/>
      <c r="H96" s="56"/>
      <c r="I96" s="56"/>
      <c r="J96" s="56"/>
      <c r="K96" s="58"/>
    </row>
    <row r="97" spans="1:11" s="33" customFormat="1" ht="11.25" customHeight="1" x14ac:dyDescent="0.2">
      <c r="A97" s="158" t="s">
        <v>57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41"/>
    </row>
    <row r="98" spans="1:11" s="33" customFormat="1" ht="11.25" customHeight="1" x14ac:dyDescent="0.2">
      <c r="A98" s="52"/>
      <c r="K98" s="53"/>
    </row>
    <row r="99" spans="1:11" s="33" customFormat="1" ht="11.25" customHeight="1" x14ac:dyDescent="0.2">
      <c r="A99" s="52"/>
      <c r="K99" s="53"/>
    </row>
    <row r="100" spans="1:11" s="33" customFormat="1" ht="11.25" customHeight="1" x14ac:dyDescent="0.2">
      <c r="A100" s="52" t="s">
        <v>58</v>
      </c>
      <c r="K100" s="53"/>
    </row>
    <row r="101" spans="1:11" s="33" customFormat="1" ht="11.25" customHeight="1" x14ac:dyDescent="0.2">
      <c r="A101" s="52"/>
      <c r="K101" s="53"/>
    </row>
    <row r="102" spans="1:11" s="33" customFormat="1" ht="11.25" customHeight="1" x14ac:dyDescent="0.2">
      <c r="A102" s="70"/>
      <c r="K102" s="53"/>
    </row>
    <row r="103" spans="1:11" s="33" customFormat="1" ht="15" customHeight="1" x14ac:dyDescent="0.35">
      <c r="A103" s="54"/>
      <c r="B103" s="345" t="s">
        <v>59</v>
      </c>
      <c r="C103" s="345"/>
      <c r="D103" s="345"/>
      <c r="E103" s="345"/>
      <c r="F103" s="63" t="s">
        <v>60</v>
      </c>
      <c r="K103" s="53"/>
    </row>
    <row r="104" spans="1:11" s="33" customFormat="1" ht="11.25" customHeight="1" x14ac:dyDescent="0.2">
      <c r="A104" s="54"/>
      <c r="B104" s="71"/>
      <c r="C104" s="71"/>
      <c r="D104" s="71"/>
      <c r="K104" s="53"/>
    </row>
    <row r="105" spans="1:11" s="33" customFormat="1" ht="15" customHeight="1" x14ac:dyDescent="0.35">
      <c r="A105" s="54"/>
      <c r="B105" s="346" t="s">
        <v>61</v>
      </c>
      <c r="C105" s="346"/>
      <c r="D105" s="346"/>
      <c r="E105" s="346"/>
      <c r="F105" s="63" t="s">
        <v>62</v>
      </c>
      <c r="K105" s="53"/>
    </row>
    <row r="106" spans="1:11" s="33" customFormat="1" ht="11.25" customHeight="1" x14ac:dyDescent="0.25">
      <c r="A106" s="54"/>
      <c r="B106" s="73"/>
      <c r="C106" s="73"/>
      <c r="D106" s="73"/>
      <c r="E106" s="63"/>
      <c r="K106" s="53"/>
    </row>
    <row r="107" spans="1:11" s="33" customFormat="1" ht="15" customHeight="1" x14ac:dyDescent="0.35">
      <c r="A107" s="54"/>
      <c r="B107" s="346" t="s">
        <v>63</v>
      </c>
      <c r="C107" s="346"/>
      <c r="D107" s="346"/>
      <c r="E107" s="47"/>
      <c r="F107" s="47" t="s">
        <v>64</v>
      </c>
      <c r="H107" s="74"/>
      <c r="K107" s="53"/>
    </row>
    <row r="108" spans="1:11" s="33" customFormat="1" ht="11.25" customHeight="1" x14ac:dyDescent="0.25">
      <c r="A108" s="54"/>
      <c r="B108" s="73"/>
      <c r="C108" s="73"/>
      <c r="D108" s="4"/>
      <c r="K108" s="53"/>
    </row>
    <row r="109" spans="1:11" s="33" customFormat="1" ht="18.75" customHeight="1" x14ac:dyDescent="0.2">
      <c r="A109" s="330" t="s">
        <v>65</v>
      </c>
      <c r="B109" s="331"/>
      <c r="C109" s="329" t="s">
        <v>66</v>
      </c>
      <c r="D109" s="329"/>
      <c r="E109" s="329"/>
      <c r="K109" s="53"/>
    </row>
    <row r="110" spans="1:11" s="33" customFormat="1" ht="11.25" customHeight="1" x14ac:dyDescent="0.2">
      <c r="A110" s="216"/>
      <c r="B110" s="45"/>
      <c r="C110" s="183"/>
      <c r="D110" s="183"/>
      <c r="E110" s="183"/>
      <c r="K110" s="53"/>
    </row>
    <row r="111" spans="1:11" s="3" customFormat="1" ht="11.25" customHeight="1" x14ac:dyDescent="0.2">
      <c r="A111" s="29" t="s">
        <v>67</v>
      </c>
      <c r="D111" s="184">
        <f>$C$36</f>
        <v>118.11023622047244</v>
      </c>
      <c r="E111" s="70" t="s">
        <v>68</v>
      </c>
      <c r="F111" s="75"/>
      <c r="G111" s="33"/>
      <c r="K111" s="6"/>
    </row>
    <row r="112" spans="1:11" s="3" customFormat="1" ht="11.25" customHeight="1" x14ac:dyDescent="0.2">
      <c r="A112" s="29" t="s">
        <v>69</v>
      </c>
      <c r="D112" s="184">
        <v>3674288</v>
      </c>
      <c r="E112" s="70" t="s">
        <v>70</v>
      </c>
      <c r="F112" s="77"/>
      <c r="G112" s="33"/>
      <c r="H112" s="33"/>
      <c r="I112" s="222"/>
      <c r="K112" s="6"/>
    </row>
    <row r="113" spans="1:11" s="3" customFormat="1" ht="11.25" customHeight="1" x14ac:dyDescent="0.2">
      <c r="A113" s="29" t="s">
        <v>71</v>
      </c>
      <c r="D113" s="78">
        <f>$E$36</f>
        <v>7.8740157480314972</v>
      </c>
      <c r="E113" s="70" t="s">
        <v>68</v>
      </c>
      <c r="F113" s="79"/>
      <c r="G113" s="33"/>
      <c r="K113" s="6"/>
    </row>
    <row r="114" spans="1:11" s="3" customFormat="1" ht="11.25" customHeight="1" x14ac:dyDescent="0.25">
      <c r="A114" s="80" t="s">
        <v>72</v>
      </c>
      <c r="D114" s="213">
        <v>0.15</v>
      </c>
      <c r="E114" s="130" t="s">
        <v>0</v>
      </c>
      <c r="F114" s="49"/>
      <c r="G114" s="81"/>
      <c r="K114" s="6"/>
    </row>
    <row r="115" spans="1:11" s="3" customFormat="1" ht="11.25" customHeight="1" x14ac:dyDescent="0.2">
      <c r="A115" s="29" t="s">
        <v>73</v>
      </c>
      <c r="D115" s="76">
        <v>135.55000000000001</v>
      </c>
      <c r="E115" s="131" t="s">
        <v>74</v>
      </c>
      <c r="F115" s="77"/>
      <c r="G115" s="7"/>
      <c r="K115" s="6"/>
    </row>
    <row r="116" spans="1:11" s="3" customFormat="1" ht="15" customHeight="1" x14ac:dyDescent="0.3">
      <c r="A116" s="29" t="s">
        <v>75</v>
      </c>
      <c r="D116" s="78">
        <f>(($D$112*$D$113^3)/(12*(1-$D$114^2)*$D$115))^0.25</f>
        <v>32.590507576295451</v>
      </c>
      <c r="E116" s="70" t="s">
        <v>68</v>
      </c>
      <c r="F116" s="75"/>
      <c r="G116" s="33"/>
      <c r="K116" s="6"/>
    </row>
    <row r="117" spans="1:11" s="3" customFormat="1" ht="11.25" customHeight="1" x14ac:dyDescent="0.2">
      <c r="A117" s="29"/>
      <c r="D117" s="83"/>
      <c r="K117" s="6"/>
    </row>
    <row r="118" spans="1:11" s="3" customFormat="1" ht="11.25" customHeight="1" x14ac:dyDescent="0.2">
      <c r="A118" s="29"/>
      <c r="D118" s="83"/>
      <c r="K118" s="6"/>
    </row>
    <row r="119" spans="1:11" s="33" customFormat="1" ht="11.25" customHeight="1" x14ac:dyDescent="0.2">
      <c r="A119" s="54"/>
      <c r="D119" s="323" t="s">
        <v>76</v>
      </c>
      <c r="E119" s="324"/>
      <c r="K119" s="53"/>
    </row>
    <row r="120" spans="1:11" s="33" customFormat="1" ht="16.5" customHeight="1" x14ac:dyDescent="0.3">
      <c r="A120" s="54"/>
      <c r="B120" s="148" t="s">
        <v>77</v>
      </c>
      <c r="C120" s="76">
        <f>$D$111/$D$116</f>
        <v>3.624068632376237</v>
      </c>
      <c r="D120" s="110" t="s">
        <v>78</v>
      </c>
      <c r="E120" s="84">
        <v>0.21</v>
      </c>
      <c r="F120" s="86" t="s">
        <v>79</v>
      </c>
      <c r="G120" s="85">
        <v>6.0000000000000002E-6</v>
      </c>
      <c r="H120" s="213" t="s">
        <v>80</v>
      </c>
      <c r="I120" s="325" t="s">
        <v>81</v>
      </c>
      <c r="J120" s="325"/>
      <c r="K120" s="325"/>
    </row>
    <row r="121" spans="1:11" s="33" customFormat="1" ht="15" customHeight="1" x14ac:dyDescent="0.3">
      <c r="A121" s="54"/>
      <c r="B121" s="148" t="s">
        <v>82</v>
      </c>
      <c r="C121" s="76">
        <f>$D$36/$D$116</f>
        <v>3.5636674885032997</v>
      </c>
      <c r="D121" s="110" t="s">
        <v>83</v>
      </c>
      <c r="E121" s="213">
        <v>0.21</v>
      </c>
      <c r="F121" s="86" t="s">
        <v>84</v>
      </c>
      <c r="G121" s="87">
        <v>9</v>
      </c>
      <c r="H121" s="213" t="s">
        <v>85</v>
      </c>
      <c r="I121" s="325" t="s">
        <v>86</v>
      </c>
      <c r="J121" s="325"/>
      <c r="K121" s="325"/>
    </row>
    <row r="122" spans="1:11" s="33" customFormat="1" ht="11.25" customHeight="1" x14ac:dyDescent="0.2">
      <c r="A122" s="54"/>
      <c r="K122" s="53"/>
    </row>
    <row r="123" spans="1:11" s="33" customFormat="1" ht="18" customHeight="1" x14ac:dyDescent="0.25">
      <c r="A123" s="88"/>
      <c r="B123" s="89"/>
      <c r="C123" s="90"/>
      <c r="D123" s="91" t="s">
        <v>87</v>
      </c>
      <c r="E123" s="92">
        <f>((($D$112*$G$120*$G$121)/(2*(1-$D$114^2)))*($E$120+($D$114*$E$121)))*$E$36</f>
        <v>192.98946697545162</v>
      </c>
      <c r="F123" s="129" t="s">
        <v>88</v>
      </c>
      <c r="K123" s="53"/>
    </row>
    <row r="124" spans="1:11" s="33" customFormat="1" ht="11.25" customHeight="1" x14ac:dyDescent="0.2">
      <c r="A124" s="93"/>
      <c r="B124" s="49"/>
      <c r="D124" s="94"/>
      <c r="E124" s="95"/>
      <c r="F124" s="66"/>
      <c r="K124" s="53"/>
    </row>
    <row r="125" spans="1:11" s="33" customFormat="1" ht="18" customHeight="1" x14ac:dyDescent="0.25">
      <c r="A125" s="88"/>
      <c r="B125" s="89"/>
      <c r="C125" s="90"/>
      <c r="D125" s="91" t="s">
        <v>89</v>
      </c>
      <c r="E125" s="92">
        <f>((($D$112*$G$120*$G$121)/(2*(1-$D$114^2)))*($E$121+($D$114*$E$120)))*$E$36</f>
        <v>192.98946697545162</v>
      </c>
      <c r="F125" s="129" t="s">
        <v>88</v>
      </c>
      <c r="K125" s="53"/>
    </row>
    <row r="126" spans="1:11" s="33" customFormat="1" ht="11.25" customHeight="1" x14ac:dyDescent="0.2">
      <c r="A126" s="93"/>
      <c r="B126" s="49"/>
      <c r="D126" s="94"/>
      <c r="E126" s="95"/>
      <c r="F126" s="66"/>
      <c r="K126" s="53"/>
    </row>
    <row r="127" spans="1:11" s="33" customFormat="1" ht="18" customHeight="1" x14ac:dyDescent="0.2">
      <c r="A127" s="88"/>
      <c r="B127" s="89"/>
      <c r="D127" s="91" t="s">
        <v>90</v>
      </c>
      <c r="E127" s="92">
        <f>($E$120*$D$112*$G$120*$G$121/2)*$E$36</f>
        <v>164.0410469291339</v>
      </c>
      <c r="F127" s="129" t="s">
        <v>88</v>
      </c>
      <c r="K127" s="53"/>
    </row>
    <row r="128" spans="1:11" s="33" customFormat="1" ht="11.25" customHeight="1" x14ac:dyDescent="0.2">
      <c r="A128" s="54"/>
      <c r="D128" s="49"/>
      <c r="E128" s="96"/>
      <c r="F128" s="66"/>
      <c r="K128" s="53"/>
    </row>
    <row r="129" spans="1:11" s="33" customFormat="1" ht="18" customHeight="1" x14ac:dyDescent="0.2">
      <c r="A129" s="54"/>
      <c r="D129" s="91" t="s">
        <v>90</v>
      </c>
      <c r="E129" s="92">
        <f>($E$121*$D$112*$G$120*$G$121/2)*$E$36</f>
        <v>164.0410469291339</v>
      </c>
      <c r="F129" s="129" t="s">
        <v>88</v>
      </c>
      <c r="K129" s="53"/>
    </row>
    <row r="130" spans="1:11" s="33" customFormat="1" ht="11.25" customHeight="1" x14ac:dyDescent="0.2">
      <c r="A130" s="54"/>
      <c r="K130" s="53"/>
    </row>
    <row r="131" spans="1:11" s="33" customFormat="1" ht="11.25" customHeight="1" x14ac:dyDescent="0.2">
      <c r="A131" s="54"/>
      <c r="K131" s="53"/>
    </row>
    <row r="132" spans="1:11" ht="11.25" customHeight="1" x14ac:dyDescent="0.25">
      <c r="A132" s="52" t="s">
        <v>91</v>
      </c>
      <c r="K132" s="1"/>
    </row>
    <row r="133" spans="1:11" ht="11.25" customHeight="1" x14ac:dyDescent="0.25">
      <c r="A133" s="52"/>
      <c r="K133" s="1"/>
    </row>
    <row r="134" spans="1:11" ht="11.25" customHeight="1" x14ac:dyDescent="0.25">
      <c r="A134" s="52"/>
      <c r="K134" s="1"/>
    </row>
    <row r="135" spans="1:11" ht="21.75" x14ac:dyDescent="0.25">
      <c r="A135" s="100"/>
      <c r="B135" s="347" t="s">
        <v>92</v>
      </c>
      <c r="C135" s="347"/>
      <c r="D135" s="347"/>
      <c r="E135" s="347"/>
      <c r="F135" s="55" t="s">
        <v>93</v>
      </c>
      <c r="K135" s="1"/>
    </row>
    <row r="136" spans="1:11" s="3" customFormat="1" ht="11.25" customHeight="1" x14ac:dyDescent="0.2">
      <c r="A136" s="29"/>
      <c r="E136" s="4"/>
      <c r="K136" s="6"/>
    </row>
    <row r="137" spans="1:11" s="3" customFormat="1" ht="21.75" x14ac:dyDescent="0.2">
      <c r="A137" s="82"/>
      <c r="B137" s="347" t="s">
        <v>94</v>
      </c>
      <c r="C137" s="347"/>
      <c r="D137" s="347"/>
      <c r="E137" s="347"/>
      <c r="F137" s="55" t="s">
        <v>95</v>
      </c>
      <c r="K137" s="6"/>
    </row>
    <row r="138" spans="1:11" s="3" customFormat="1" ht="11.25" customHeight="1" x14ac:dyDescent="0.2">
      <c r="A138" s="29"/>
      <c r="K138" s="6"/>
    </row>
    <row r="139" spans="1:11" s="3" customFormat="1" ht="15" customHeight="1" x14ac:dyDescent="0.2">
      <c r="A139" s="189"/>
      <c r="B139" s="218"/>
      <c r="C139" s="121" t="s">
        <v>96</v>
      </c>
      <c r="D139" s="342" t="s">
        <v>97</v>
      </c>
      <c r="E139" s="343"/>
      <c r="F139" s="343"/>
      <c r="G139" s="343"/>
      <c r="H139" s="343"/>
      <c r="I139" s="190">
        <f>2.38*($D$148*$D$116)^0.5</f>
        <v>49.770656422121526</v>
      </c>
      <c r="J139" s="159" t="s">
        <v>68</v>
      </c>
      <c r="K139" s="115"/>
    </row>
    <row r="140" spans="1:11" s="3" customFormat="1" ht="35.25" customHeight="1" x14ac:dyDescent="0.2">
      <c r="A140" s="191"/>
      <c r="B140" s="50"/>
      <c r="C140" s="213" t="s">
        <v>98</v>
      </c>
      <c r="D140" s="76">
        <f>K140*2.205</f>
        <v>24255</v>
      </c>
      <c r="E140" s="356" t="s">
        <v>158</v>
      </c>
      <c r="F140" s="357"/>
      <c r="G140" s="357"/>
      <c r="H140" s="357"/>
      <c r="I140" s="358"/>
      <c r="J140" s="101" t="s">
        <v>99</v>
      </c>
      <c r="K140" s="213">
        <f>22*1000/2</f>
        <v>11000</v>
      </c>
    </row>
    <row r="141" spans="1:11" s="3" customFormat="1" ht="11.25" customHeight="1" x14ac:dyDescent="0.2">
      <c r="A141" s="29"/>
      <c r="K141" s="6"/>
    </row>
    <row r="142" spans="1:11" s="3" customFormat="1" ht="11.25" customHeight="1" x14ac:dyDescent="0.2">
      <c r="A142" s="29"/>
      <c r="B142" s="49"/>
      <c r="C142" s="102" t="s">
        <v>100</v>
      </c>
      <c r="D142" s="213">
        <v>80</v>
      </c>
      <c r="E142" s="4" t="s">
        <v>101</v>
      </c>
      <c r="K142" s="6"/>
    </row>
    <row r="143" spans="1:11" s="3" customFormat="1" ht="11.25" customHeight="1" x14ac:dyDescent="0.2">
      <c r="A143" s="29"/>
      <c r="K143" s="6"/>
    </row>
    <row r="144" spans="1:11" s="3" customFormat="1" ht="11.25" customHeight="1" x14ac:dyDescent="0.2">
      <c r="A144" s="29"/>
      <c r="C144" s="221" t="s">
        <v>102</v>
      </c>
      <c r="D144" s="84">
        <v>12.76</v>
      </c>
      <c r="E144" s="4" t="s">
        <v>103</v>
      </c>
      <c r="K144" s="6"/>
    </row>
    <row r="145" spans="1:12" s="3" customFormat="1" ht="11.25" customHeight="1" x14ac:dyDescent="0.2">
      <c r="A145" s="29"/>
      <c r="C145" s="104"/>
      <c r="D145" s="75"/>
      <c r="E145" s="4"/>
      <c r="K145" s="6"/>
    </row>
    <row r="146" spans="1:12" s="3" customFormat="1" ht="11.25" customHeight="1" x14ac:dyDescent="0.2">
      <c r="A146" s="29"/>
      <c r="C146" s="359" t="s">
        <v>104</v>
      </c>
      <c r="D146" s="359"/>
      <c r="E146" s="359"/>
      <c r="F146" s="359"/>
      <c r="G146" s="4" t="s">
        <v>105</v>
      </c>
      <c r="K146" s="6"/>
    </row>
    <row r="147" spans="1:12" s="3" customFormat="1" ht="11.25" customHeight="1" x14ac:dyDescent="0.2">
      <c r="A147" s="29"/>
      <c r="K147" s="6"/>
    </row>
    <row r="148" spans="1:12" s="3" customFormat="1" ht="11.25" customHeight="1" x14ac:dyDescent="0.2">
      <c r="A148" s="93"/>
      <c r="B148" s="44"/>
      <c r="C148" s="213" t="s">
        <v>1</v>
      </c>
      <c r="D148" s="105">
        <f>((0.8521*D140/(D142*3.1416))+(D144/3.1416)*(D140/(0.5227*D142))^0.5)^0.5</f>
        <v>13.418429811636141</v>
      </c>
      <c r="E148" s="69" t="s">
        <v>68</v>
      </c>
      <c r="K148" s="6"/>
      <c r="L148" s="4"/>
    </row>
    <row r="149" spans="1:12" s="3" customFormat="1" ht="11.25" customHeight="1" x14ac:dyDescent="0.2">
      <c r="A149" s="29"/>
      <c r="E149" s="66"/>
      <c r="K149" s="6"/>
    </row>
    <row r="150" spans="1:12" ht="18" customHeight="1" x14ac:dyDescent="0.25">
      <c r="A150" s="88"/>
      <c r="B150" s="89"/>
      <c r="C150" s="91" t="s">
        <v>106</v>
      </c>
      <c r="D150" s="106">
        <f>(3*$D$140/$E$36^2)*(1-($D$148*(2^0.5)/$D$116)^0.6)</f>
        <v>325.21758328551306</v>
      </c>
      <c r="E150" s="129" t="s">
        <v>88</v>
      </c>
      <c r="G150" s="107"/>
      <c r="H150" s="107"/>
      <c r="I150" s="107"/>
      <c r="K150" s="1"/>
    </row>
    <row r="151" spans="1:12" s="3" customFormat="1" ht="11.25" customHeight="1" x14ac:dyDescent="0.2">
      <c r="A151" s="54"/>
      <c r="B151" s="33"/>
      <c r="C151" s="33"/>
      <c r="D151" s="33"/>
      <c r="E151" s="63"/>
      <c r="K151" s="6"/>
    </row>
    <row r="152" spans="1:12" s="3" customFormat="1" ht="18" customHeight="1" x14ac:dyDescent="0.2">
      <c r="A152" s="93"/>
      <c r="B152" s="49"/>
      <c r="C152" s="91" t="s">
        <v>107</v>
      </c>
      <c r="D152" s="108">
        <f>($D$140/($D$115*$D$116^2))*(1.1-(0.88*($D$148*(2^0.5)/$D$116)))</f>
        <v>9.8992447025415709E-2</v>
      </c>
      <c r="E152" s="69" t="s">
        <v>68</v>
      </c>
      <c r="K152" s="6"/>
    </row>
    <row r="153" spans="1:12" s="3" customFormat="1" ht="11.25" customHeight="1" x14ac:dyDescent="0.2">
      <c r="A153" s="29"/>
      <c r="K153" s="6"/>
    </row>
    <row r="154" spans="1:12" s="3" customFormat="1" ht="11.25" customHeight="1" x14ac:dyDescent="0.2">
      <c r="A154" s="29"/>
      <c r="K154" s="6"/>
    </row>
    <row r="155" spans="1:12" ht="11.25" customHeight="1" x14ac:dyDescent="0.25">
      <c r="A155" s="52" t="s">
        <v>108</v>
      </c>
      <c r="K155" s="1"/>
    </row>
    <row r="156" spans="1:12" ht="11.25" customHeight="1" x14ac:dyDescent="0.25">
      <c r="A156" s="52"/>
      <c r="K156" s="1"/>
    </row>
    <row r="157" spans="1:12" ht="11.25" customHeight="1" x14ac:dyDescent="0.25">
      <c r="A157" s="70"/>
      <c r="K157" s="1"/>
    </row>
    <row r="158" spans="1:12" s="3" customFormat="1" ht="18" customHeight="1" x14ac:dyDescent="0.25">
      <c r="A158" s="100"/>
      <c r="B158" s="109"/>
      <c r="C158" s="348" t="s">
        <v>109</v>
      </c>
      <c r="D158" s="349"/>
      <c r="E158" s="349"/>
      <c r="F158" s="350"/>
      <c r="G158" s="47" t="s">
        <v>110</v>
      </c>
      <c r="K158" s="6"/>
    </row>
    <row r="159" spans="1:12" s="3" customFormat="1" ht="11.25" customHeight="1" x14ac:dyDescent="0.2">
      <c r="A159" s="29"/>
      <c r="K159" s="6"/>
    </row>
    <row r="160" spans="1:12" s="3" customFormat="1" ht="21.75" x14ac:dyDescent="0.35">
      <c r="A160" s="82"/>
      <c r="B160" s="107"/>
      <c r="C160" s="351" t="s">
        <v>111</v>
      </c>
      <c r="D160" s="352"/>
      <c r="E160" s="352"/>
      <c r="F160" s="353"/>
      <c r="G160" s="55" t="s">
        <v>112</v>
      </c>
      <c r="K160" s="6"/>
    </row>
    <row r="161" spans="1:11" s="3" customFormat="1" ht="11.25" customHeight="1" x14ac:dyDescent="0.2">
      <c r="A161" s="29"/>
      <c r="K161" s="6"/>
    </row>
    <row r="162" spans="1:11" s="3" customFormat="1" ht="11.25" customHeight="1" x14ac:dyDescent="0.2">
      <c r="A162" s="93"/>
      <c r="B162" s="49"/>
      <c r="C162" s="122" t="s">
        <v>113</v>
      </c>
      <c r="D162" s="122" t="s">
        <v>114</v>
      </c>
      <c r="E162" s="34">
        <f>0.724*$D$113</f>
        <v>5.7007874015748037</v>
      </c>
      <c r="F162" s="69" t="s">
        <v>68</v>
      </c>
      <c r="G162" s="110" t="s">
        <v>115</v>
      </c>
      <c r="H162" s="111" t="s">
        <v>116</v>
      </c>
      <c r="K162" s="6"/>
    </row>
    <row r="163" spans="1:11" s="3" customFormat="1" ht="15" customHeight="1" x14ac:dyDescent="0.2">
      <c r="A163" s="82"/>
      <c r="B163" s="354" t="s">
        <v>117</v>
      </c>
      <c r="C163" s="354"/>
      <c r="D163" s="354"/>
      <c r="E163" s="34">
        <f>(((1.6*$D$148^2)+($D$113^2))^0.5)-(0.675*$D$113)</f>
        <v>13.395649669476695</v>
      </c>
      <c r="F163" s="69" t="s">
        <v>68</v>
      </c>
      <c r="K163" s="6"/>
    </row>
    <row r="164" spans="1:11" s="3" customFormat="1" ht="11.25" customHeight="1" x14ac:dyDescent="0.2">
      <c r="A164" s="29"/>
      <c r="K164" s="6"/>
    </row>
    <row r="165" spans="1:11" s="3" customFormat="1" ht="18" customHeight="1" x14ac:dyDescent="0.35">
      <c r="A165" s="29"/>
      <c r="C165" s="147" t="s">
        <v>118</v>
      </c>
      <c r="D165" s="106">
        <f>(0.316*$D$140/$E$36^2)*(4*LOG($D$116/$E$163)+1.069)</f>
        <v>323.08728399819051</v>
      </c>
      <c r="E165" s="93" t="s">
        <v>88</v>
      </c>
      <c r="K165" s="6"/>
    </row>
    <row r="166" spans="1:11" s="3" customFormat="1" ht="11.25" customHeight="1" x14ac:dyDescent="0.2">
      <c r="A166" s="29"/>
      <c r="C166" s="33"/>
      <c r="D166" s="112"/>
      <c r="E166" s="4"/>
      <c r="K166" s="6"/>
    </row>
    <row r="167" spans="1:11" s="3" customFormat="1" ht="18" customHeight="1" x14ac:dyDescent="0.35">
      <c r="A167" s="29"/>
      <c r="C167" s="147" t="s">
        <v>119</v>
      </c>
      <c r="D167" s="146">
        <f>($D$140/(8*$D$115*$D$116^2))*(1+((2/3.1416)*(LN($D$148/(2*$D$116))-0.673))*($D$148/$D$116)^2)</f>
        <v>1.5937128337967087E-2</v>
      </c>
      <c r="E167" s="49" t="s">
        <v>68</v>
      </c>
      <c r="K167" s="6"/>
    </row>
    <row r="168" spans="1:11" s="3" customFormat="1" ht="11.25" customHeight="1" x14ac:dyDescent="0.2">
      <c r="A168" s="29"/>
      <c r="K168" s="6"/>
    </row>
    <row r="169" spans="1:11" s="3" customFormat="1" ht="11.25" customHeight="1" x14ac:dyDescent="0.2">
      <c r="A169" s="29"/>
      <c r="K169" s="6"/>
    </row>
    <row r="170" spans="1:11" s="3" customFormat="1" ht="11.25" customHeight="1" x14ac:dyDescent="0.2">
      <c r="A170" s="52" t="s">
        <v>120</v>
      </c>
      <c r="K170" s="6"/>
    </row>
    <row r="171" spans="1:11" s="3" customFormat="1" ht="11.25" customHeight="1" x14ac:dyDescent="0.2">
      <c r="A171" s="52"/>
      <c r="K171" s="6"/>
    </row>
    <row r="172" spans="1:11" s="3" customFormat="1" ht="11.25" customHeight="1" x14ac:dyDescent="0.2">
      <c r="A172" s="52"/>
      <c r="K172" s="6"/>
    </row>
    <row r="173" spans="1:11" s="3" customFormat="1" ht="18" customHeight="1" x14ac:dyDescent="0.35">
      <c r="A173" s="29"/>
      <c r="C173" s="340" t="s">
        <v>121</v>
      </c>
      <c r="D173" s="355"/>
      <c r="E173" s="355"/>
      <c r="F173" s="341"/>
      <c r="G173" s="47" t="s">
        <v>122</v>
      </c>
      <c r="K173" s="6"/>
    </row>
    <row r="174" spans="1:11" s="3" customFormat="1" ht="11.25" customHeight="1" x14ac:dyDescent="0.2">
      <c r="A174" s="29"/>
      <c r="K174" s="6"/>
    </row>
    <row r="175" spans="1:11" s="3" customFormat="1" ht="18" customHeight="1" x14ac:dyDescent="0.35">
      <c r="A175" s="29"/>
      <c r="C175" s="337" t="s">
        <v>123</v>
      </c>
      <c r="D175" s="338"/>
      <c r="E175" s="338"/>
      <c r="F175" s="339"/>
      <c r="G175" s="55" t="s">
        <v>112</v>
      </c>
      <c r="K175" s="6"/>
    </row>
    <row r="176" spans="1:11" s="3" customFormat="1" ht="11.25" customHeight="1" x14ac:dyDescent="0.2">
      <c r="A176" s="29"/>
      <c r="K176" s="6"/>
    </row>
    <row r="177" spans="1:11" s="3" customFormat="1" ht="18" customHeight="1" x14ac:dyDescent="0.35">
      <c r="A177" s="29"/>
      <c r="C177" s="147" t="s">
        <v>124</v>
      </c>
      <c r="D177" s="106">
        <f>(0.572*$D$140/$E$36^2)*(4*LOG($D$116/$E$163)-0.359)</f>
        <v>265.28319638296165</v>
      </c>
      <c r="E177" s="93" t="s">
        <v>88</v>
      </c>
      <c r="K177" s="6"/>
    </row>
    <row r="178" spans="1:11" s="3" customFormat="1" ht="11.25" customHeight="1" x14ac:dyDescent="0.2">
      <c r="A178" s="29"/>
      <c r="C178" s="33"/>
      <c r="D178" s="96"/>
      <c r="E178" s="4"/>
      <c r="K178" s="6"/>
    </row>
    <row r="179" spans="1:11" s="3" customFormat="1" ht="18" customHeight="1" x14ac:dyDescent="0.35">
      <c r="A179" s="29"/>
      <c r="C179" s="147" t="s">
        <v>125</v>
      </c>
      <c r="D179" s="108">
        <f>(0.431*$D$140/($D$115*$D$116^2))*(1-(0.82*($D$148/($D$116))))</f>
        <v>4.8095660677558855E-2</v>
      </c>
      <c r="E179" s="49" t="s">
        <v>68</v>
      </c>
      <c r="K179" s="6"/>
    </row>
    <row r="180" spans="1:11" s="3" customFormat="1" ht="11.25" customHeight="1" x14ac:dyDescent="0.2">
      <c r="A180" s="29"/>
      <c r="D180" s="116"/>
      <c r="K180" s="6"/>
    </row>
    <row r="181" spans="1:11" s="3" customFormat="1" ht="11.25" customHeight="1" x14ac:dyDescent="0.2">
      <c r="A181" s="113"/>
      <c r="B181" s="114"/>
      <c r="C181" s="114"/>
      <c r="D181" s="192"/>
      <c r="E181" s="114"/>
      <c r="F181" s="114"/>
      <c r="G181" s="114"/>
      <c r="H181" s="114"/>
      <c r="I181" s="114"/>
      <c r="J181" s="114"/>
      <c r="K181" s="115"/>
    </row>
    <row r="182" spans="1:11" s="3" customFormat="1" ht="11.25" customHeight="1" x14ac:dyDescent="0.2">
      <c r="A182" s="155" t="s">
        <v>126</v>
      </c>
      <c r="B182" s="156"/>
      <c r="C182" s="156"/>
      <c r="D182" s="156"/>
      <c r="E182" s="156"/>
      <c r="F182" s="156"/>
      <c r="G182" s="156"/>
      <c r="H182" s="156"/>
      <c r="I182" s="156"/>
      <c r="J182" s="156"/>
      <c r="K182" s="160"/>
    </row>
    <row r="183" spans="1:11" s="3" customFormat="1" ht="11.25" customHeight="1" x14ac:dyDescent="0.2">
      <c r="A183" s="28"/>
      <c r="K183" s="6"/>
    </row>
    <row r="184" spans="1:11" s="3" customFormat="1" ht="11.25" customHeight="1" x14ac:dyDescent="0.2">
      <c r="A184" s="28"/>
      <c r="K184" s="6"/>
    </row>
    <row r="185" spans="1:11" s="3" customFormat="1" ht="21" customHeight="1" x14ac:dyDescent="0.35">
      <c r="A185" s="100"/>
      <c r="B185" s="109"/>
      <c r="C185" s="109"/>
      <c r="D185" s="340" t="s">
        <v>127</v>
      </c>
      <c r="E185" s="341"/>
      <c r="F185" s="51" t="s">
        <v>128</v>
      </c>
      <c r="I185" s="340" t="s">
        <v>129</v>
      </c>
      <c r="J185" s="341"/>
      <c r="K185" s="185" t="s">
        <v>130</v>
      </c>
    </row>
    <row r="186" spans="1:11" s="3" customFormat="1" ht="11.25" customHeight="1" x14ac:dyDescent="0.2">
      <c r="A186" s="100"/>
      <c r="B186" s="109"/>
      <c r="C186" s="109"/>
      <c r="K186" s="6"/>
    </row>
    <row r="187" spans="1:11" s="3" customFormat="1" ht="18" customHeight="1" x14ac:dyDescent="0.35">
      <c r="A187" s="100"/>
      <c r="B187" s="109"/>
      <c r="C187" s="109"/>
      <c r="D187" s="220" t="s">
        <v>131</v>
      </c>
      <c r="E187" s="84">
        <f>2400*0.0361273/1000</f>
        <v>8.6705520000000008E-2</v>
      </c>
      <c r="F187" s="47" t="s">
        <v>132</v>
      </c>
      <c r="I187" s="215" t="s">
        <v>133</v>
      </c>
      <c r="J187" s="170">
        <f>(E187*D113*E188*E189)/(2*E52)</f>
        <v>8.3996140492281017E-5</v>
      </c>
      <c r="K187" s="6" t="s">
        <v>134</v>
      </c>
    </row>
    <row r="188" spans="1:11" s="3" customFormat="1" ht="11.25" customHeight="1" x14ac:dyDescent="0.2">
      <c r="A188" s="100"/>
      <c r="B188" s="109"/>
      <c r="C188" s="109"/>
      <c r="D188" s="213" t="s">
        <v>135</v>
      </c>
      <c r="E188" s="84">
        <f>C36/12</f>
        <v>9.8425196850393704</v>
      </c>
      <c r="F188" s="4" t="s">
        <v>136</v>
      </c>
      <c r="K188" s="6"/>
    </row>
    <row r="189" spans="1:11" s="3" customFormat="1" ht="15" customHeight="1" x14ac:dyDescent="0.3">
      <c r="A189" s="100"/>
      <c r="B189" s="109"/>
      <c r="C189" s="109"/>
      <c r="D189" s="180" t="s">
        <v>137</v>
      </c>
      <c r="E189" s="122">
        <v>1.5</v>
      </c>
      <c r="F189" s="47" t="s">
        <v>138</v>
      </c>
      <c r="K189" s="6"/>
    </row>
    <row r="190" spans="1:11" s="3" customFormat="1" ht="18" customHeight="1" x14ac:dyDescent="0.35">
      <c r="A190" s="100"/>
      <c r="B190" s="109"/>
      <c r="C190" s="109"/>
      <c r="D190" s="147" t="s">
        <v>139</v>
      </c>
      <c r="E190" s="92">
        <f>$E$187*$E$188*$E$189/2</f>
        <v>0.64005059055118119</v>
      </c>
      <c r="F190" s="69" t="s">
        <v>88</v>
      </c>
      <c r="K190" s="6"/>
    </row>
    <row r="191" spans="1:11" s="3" customFormat="1" ht="11.25" customHeight="1" x14ac:dyDescent="0.25">
      <c r="A191" s="100"/>
      <c r="B191" s="109"/>
      <c r="C191" s="109"/>
      <c r="D191" s="181"/>
      <c r="E191" s="182"/>
      <c r="F191" s="69"/>
      <c r="K191" s="6"/>
    </row>
    <row r="192" spans="1:11" s="3" customFormat="1" ht="11.25" customHeight="1" x14ac:dyDescent="0.25">
      <c r="A192" s="100"/>
      <c r="B192" s="109"/>
      <c r="C192" s="109"/>
      <c r="D192" s="181"/>
      <c r="E192" s="182"/>
      <c r="F192" s="69"/>
      <c r="K192" s="6"/>
    </row>
    <row r="193" spans="1:11" s="3" customFormat="1" ht="11.25" customHeight="1" x14ac:dyDescent="0.2">
      <c r="A193" s="28" t="s">
        <v>140</v>
      </c>
      <c r="K193" s="6"/>
    </row>
    <row r="194" spans="1:11" s="3" customFormat="1" ht="11.25" customHeight="1" x14ac:dyDescent="0.2">
      <c r="A194" s="28"/>
      <c r="K194" s="6"/>
    </row>
    <row r="195" spans="1:11" s="3" customFormat="1" ht="11.25" customHeight="1" x14ac:dyDescent="0.2">
      <c r="A195" s="29"/>
      <c r="K195" s="6"/>
    </row>
    <row r="196" spans="1:11" s="3" customFormat="1" ht="56.25" customHeight="1" x14ac:dyDescent="0.2">
      <c r="A196" s="29"/>
      <c r="B196" s="344" t="s">
        <v>141</v>
      </c>
      <c r="C196" s="344"/>
      <c r="D196" s="219" t="s">
        <v>142</v>
      </c>
      <c r="E196" s="219" t="s">
        <v>143</v>
      </c>
      <c r="F196" s="219" t="s">
        <v>144</v>
      </c>
      <c r="G196" s="167"/>
      <c r="K196" s="6"/>
    </row>
    <row r="197" spans="1:11" s="3" customFormat="1" ht="13.5" customHeight="1" x14ac:dyDescent="0.2">
      <c r="A197" s="29"/>
      <c r="B197" s="354" t="s">
        <v>145</v>
      </c>
      <c r="C197" s="354"/>
      <c r="D197" s="149">
        <f>$E$123</f>
        <v>192.98946697545162</v>
      </c>
      <c r="E197" s="334">
        <v>595</v>
      </c>
      <c r="F197" s="149">
        <f>($D$197/$E$197)*100</f>
        <v>32.435204533689351</v>
      </c>
      <c r="G197" s="5"/>
      <c r="K197" s="6"/>
    </row>
    <row r="198" spans="1:11" s="3" customFormat="1" ht="13.5" customHeight="1" x14ac:dyDescent="0.2">
      <c r="A198" s="29"/>
      <c r="B198" s="354" t="s">
        <v>146</v>
      </c>
      <c r="C198" s="354"/>
      <c r="D198" s="149">
        <f>$E$125</f>
        <v>192.98946697545162</v>
      </c>
      <c r="E198" s="360"/>
      <c r="F198" s="149">
        <f>($D$198/$E$197)*100</f>
        <v>32.435204533689351</v>
      </c>
      <c r="G198" s="5"/>
      <c r="K198" s="6"/>
    </row>
    <row r="199" spans="1:11" s="3" customFormat="1" ht="13.5" customHeight="1" x14ac:dyDescent="0.2">
      <c r="A199" s="29"/>
      <c r="B199" s="354" t="s">
        <v>147</v>
      </c>
      <c r="C199" s="354"/>
      <c r="D199" s="149">
        <f>$E$127</f>
        <v>164.0410469291339</v>
      </c>
      <c r="E199" s="360"/>
      <c r="F199" s="149">
        <f>($D$199/$E$197)*100</f>
        <v>27.569923853635949</v>
      </c>
      <c r="G199" s="5"/>
      <c r="K199" s="6"/>
    </row>
    <row r="200" spans="1:11" s="3" customFormat="1" ht="13.5" customHeight="1" x14ac:dyDescent="0.2">
      <c r="A200" s="29"/>
      <c r="B200" s="354" t="s">
        <v>148</v>
      </c>
      <c r="C200" s="354"/>
      <c r="D200" s="149">
        <f>$E$129</f>
        <v>164.0410469291339</v>
      </c>
      <c r="E200" s="361"/>
      <c r="F200" s="149">
        <f>($D$200/$E$197)*100</f>
        <v>27.569923853635949</v>
      </c>
      <c r="G200" s="5"/>
      <c r="K200" s="6"/>
    </row>
    <row r="201" spans="1:11" s="3" customFormat="1" ht="11.25" customHeight="1" x14ac:dyDescent="0.2">
      <c r="A201" s="29"/>
      <c r="K201" s="6"/>
    </row>
    <row r="202" spans="1:11" s="3" customFormat="1" ht="49.5" customHeight="1" x14ac:dyDescent="0.2">
      <c r="A202" s="29"/>
      <c r="B202" s="107"/>
      <c r="C202" s="219" t="s">
        <v>141</v>
      </c>
      <c r="D202" s="219" t="s">
        <v>149</v>
      </c>
      <c r="E202" s="219" t="s">
        <v>143</v>
      </c>
      <c r="F202" s="219" t="s">
        <v>144</v>
      </c>
      <c r="G202" s="167"/>
      <c r="H202" s="117"/>
      <c r="K202" s="6"/>
    </row>
    <row r="203" spans="1:11" s="3" customFormat="1" ht="11.25" customHeight="1" x14ac:dyDescent="0.2">
      <c r="A203" s="29"/>
      <c r="C203" s="150" t="s">
        <v>150</v>
      </c>
      <c r="D203" s="149">
        <f>$D$150</f>
        <v>325.21758328551306</v>
      </c>
      <c r="E203" s="334">
        <v>595</v>
      </c>
      <c r="F203" s="149">
        <f>($D$203/$E$203)*100</f>
        <v>54.658417358909759</v>
      </c>
      <c r="G203" s="168"/>
      <c r="K203" s="6"/>
    </row>
    <row r="204" spans="1:11" s="3" customFormat="1" ht="11.25" customHeight="1" x14ac:dyDescent="0.2">
      <c r="A204" s="29"/>
      <c r="C204" s="150" t="s">
        <v>151</v>
      </c>
      <c r="D204" s="149">
        <f>$D$165</f>
        <v>323.08728399819051</v>
      </c>
      <c r="E204" s="335"/>
      <c r="F204" s="149">
        <f>($D$204/$E$203)*100</f>
        <v>54.300383865242111</v>
      </c>
      <c r="G204" s="168"/>
      <c r="K204" s="6"/>
    </row>
    <row r="205" spans="1:11" s="3" customFormat="1" ht="11.25" customHeight="1" x14ac:dyDescent="0.2">
      <c r="A205" s="29"/>
      <c r="C205" s="150" t="s">
        <v>152</v>
      </c>
      <c r="D205" s="149">
        <f>$D$177</f>
        <v>265.28319638296165</v>
      </c>
      <c r="E205" s="336"/>
      <c r="F205" s="149">
        <f>($D$205/$E$203)*100</f>
        <v>44.585411156800276</v>
      </c>
      <c r="G205" s="168"/>
      <c r="K205" s="6"/>
    </row>
    <row r="206" spans="1:11" s="3" customFormat="1" ht="11.25" customHeight="1" x14ac:dyDescent="0.2">
      <c r="A206" s="29"/>
      <c r="K206" s="6"/>
    </row>
    <row r="207" spans="1:11" s="3" customFormat="1" ht="11.25" customHeight="1" x14ac:dyDescent="0.2">
      <c r="A207" s="29"/>
      <c r="K207" s="6"/>
    </row>
    <row r="208" spans="1:11" s="3" customFormat="1" ht="11.25" customHeight="1" x14ac:dyDescent="0.2">
      <c r="A208" s="28" t="s">
        <v>153</v>
      </c>
      <c r="K208" s="6"/>
    </row>
    <row r="209" spans="1:11" s="3" customFormat="1" ht="11.25" customHeight="1" x14ac:dyDescent="0.2">
      <c r="A209" s="28"/>
      <c r="K209" s="6"/>
    </row>
    <row r="210" spans="1:11" s="3" customFormat="1" ht="11.25" customHeight="1" x14ac:dyDescent="0.2">
      <c r="A210" s="29"/>
      <c r="K210" s="6"/>
    </row>
    <row r="211" spans="1:11" s="3" customFormat="1" ht="23.25" customHeight="1" x14ac:dyDescent="0.2">
      <c r="A211" s="29"/>
      <c r="B211" s="107"/>
      <c r="C211" s="152" t="s">
        <v>141</v>
      </c>
      <c r="D211" s="152" t="s">
        <v>154</v>
      </c>
      <c r="E211" s="152" t="s">
        <v>155</v>
      </c>
      <c r="F211" s="169"/>
      <c r="G211" s="118"/>
      <c r="H211" s="117"/>
      <c r="K211" s="6"/>
    </row>
    <row r="212" spans="1:11" s="3" customFormat="1" ht="11.25" customHeight="1" x14ac:dyDescent="0.2">
      <c r="A212" s="29"/>
      <c r="C212" s="210" t="s">
        <v>150</v>
      </c>
      <c r="D212" s="119">
        <f>$D$152</f>
        <v>9.8992447025415709E-2</v>
      </c>
      <c r="E212" s="120">
        <f>$D$212*25.4</f>
        <v>2.514408154445559</v>
      </c>
      <c r="F212" s="117"/>
      <c r="K212" s="6"/>
    </row>
    <row r="213" spans="1:11" s="3" customFormat="1" ht="11.25" customHeight="1" x14ac:dyDescent="0.2">
      <c r="A213" s="29"/>
      <c r="C213" s="210" t="s">
        <v>151</v>
      </c>
      <c r="D213" s="119">
        <f>$D$167</f>
        <v>1.5937128337967087E-2</v>
      </c>
      <c r="E213" s="120">
        <f>$D$213*25.4</f>
        <v>0.40480305978436398</v>
      </c>
      <c r="F213" s="117"/>
      <c r="K213" s="6"/>
    </row>
    <row r="214" spans="1:11" s="3" customFormat="1" ht="11.25" customHeight="1" x14ac:dyDescent="0.2">
      <c r="A214" s="29"/>
      <c r="C214" s="210" t="s">
        <v>152</v>
      </c>
      <c r="D214" s="119">
        <f>$D$179</f>
        <v>4.8095660677558855E-2</v>
      </c>
      <c r="E214" s="120">
        <f>$D$214*25.4</f>
        <v>1.2216297812099948</v>
      </c>
      <c r="F214" s="117"/>
      <c r="K214" s="6"/>
    </row>
    <row r="215" spans="1:11" s="3" customFormat="1" ht="11.25" customHeight="1" x14ac:dyDescent="0.2">
      <c r="A215" s="29"/>
      <c r="K215" s="6"/>
    </row>
    <row r="216" spans="1:11" s="3" customFormat="1" ht="11.25" customHeight="1" x14ac:dyDescent="0.2">
      <c r="A216" s="29"/>
      <c r="K216" s="6"/>
    </row>
    <row r="217" spans="1:11" s="3" customFormat="1" ht="11.25" customHeight="1" x14ac:dyDescent="0.2">
      <c r="A217" s="29"/>
      <c r="K217" s="6"/>
    </row>
    <row r="218" spans="1:11" s="3" customFormat="1" ht="11.25" customHeight="1" x14ac:dyDescent="0.2">
      <c r="A218" s="29"/>
      <c r="K218" s="6"/>
    </row>
    <row r="219" spans="1:11" s="3" customFormat="1" ht="11.25" customHeight="1" x14ac:dyDescent="0.2">
      <c r="A219" s="29"/>
      <c r="K219" s="6"/>
    </row>
    <row r="220" spans="1:11" s="3" customFormat="1" ht="11.25" customHeight="1" x14ac:dyDescent="0.2">
      <c r="A220" s="113"/>
      <c r="B220" s="114"/>
      <c r="C220" s="114"/>
      <c r="D220" s="114"/>
      <c r="E220" s="114"/>
      <c r="F220" s="114"/>
      <c r="G220" s="114"/>
      <c r="H220" s="114"/>
      <c r="I220" s="114"/>
      <c r="J220" s="114"/>
      <c r="K220" s="115"/>
    </row>
  </sheetData>
  <mergeCells count="47">
    <mergeCell ref="C21:D21"/>
    <mergeCell ref="I21:K21"/>
    <mergeCell ref="A1:K1"/>
    <mergeCell ref="D9:E9"/>
    <mergeCell ref="D10:E10"/>
    <mergeCell ref="D11:E11"/>
    <mergeCell ref="D12:E12"/>
    <mergeCell ref="D13:E13"/>
    <mergeCell ref="C19:D19"/>
    <mergeCell ref="G19:H19"/>
    <mergeCell ref="J19:J20"/>
    <mergeCell ref="C20:D20"/>
    <mergeCell ref="G20:H20"/>
    <mergeCell ref="A54:B54"/>
    <mergeCell ref="A57:C57"/>
    <mergeCell ref="D57:E57"/>
    <mergeCell ref="A58:C58"/>
    <mergeCell ref="A59:C59"/>
    <mergeCell ref="D59:G59"/>
    <mergeCell ref="J72:K72"/>
    <mergeCell ref="B103:E103"/>
    <mergeCell ref="B105:E105"/>
    <mergeCell ref="B107:D107"/>
    <mergeCell ref="A109:B109"/>
    <mergeCell ref="C109:E109"/>
    <mergeCell ref="C173:F173"/>
    <mergeCell ref="D119:E119"/>
    <mergeCell ref="I120:K120"/>
    <mergeCell ref="I121:K121"/>
    <mergeCell ref="B135:E135"/>
    <mergeCell ref="B137:E137"/>
    <mergeCell ref="D139:H139"/>
    <mergeCell ref="E140:I140"/>
    <mergeCell ref="C146:F146"/>
    <mergeCell ref="C158:F158"/>
    <mergeCell ref="C160:F160"/>
    <mergeCell ref="B163:D163"/>
    <mergeCell ref="E203:E205"/>
    <mergeCell ref="C175:F175"/>
    <mergeCell ref="D185:E185"/>
    <mergeCell ref="I185:J185"/>
    <mergeCell ref="B196:C196"/>
    <mergeCell ref="B197:C197"/>
    <mergeCell ref="E197:E200"/>
    <mergeCell ref="B198:C198"/>
    <mergeCell ref="B199:C199"/>
    <mergeCell ref="B200:C200"/>
  </mergeCells>
  <pageMargins left="0.39370078740157483" right="0.39370078740157483" top="0.39370078740157483" bottom="0.39370078740157483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1AFAC-6BC0-42DF-8B55-E4B8A55F819F}">
  <sheetPr>
    <tabColor rgb="FFFFC000"/>
  </sheetPr>
  <dimension ref="A1:L220"/>
  <sheetViews>
    <sheetView showGridLines="0" zoomScaleNormal="100" workbookViewId="0">
      <selection activeCell="E206" sqref="E206"/>
    </sheetView>
  </sheetViews>
  <sheetFormatPr baseColWidth="10" defaultColWidth="8.85546875" defaultRowHeight="15" x14ac:dyDescent="0.25"/>
  <cols>
    <col min="1" max="1" width="17.28515625" customWidth="1"/>
    <col min="2" max="3" width="11.42578125" customWidth="1"/>
    <col min="4" max="4" width="13.5703125" customWidth="1"/>
    <col min="5" max="10" width="11.42578125" customWidth="1"/>
    <col min="11" max="11" width="9.7109375" customWidth="1"/>
    <col min="12" max="256" width="11.42578125" customWidth="1"/>
  </cols>
  <sheetData>
    <row r="1" spans="1:11" s="2" customFormat="1" ht="15" customHeight="1" x14ac:dyDescent="0.2">
      <c r="A1" s="306" t="s">
        <v>160</v>
      </c>
      <c r="B1" s="307"/>
      <c r="C1" s="307"/>
      <c r="D1" s="307"/>
      <c r="E1" s="307"/>
      <c r="F1" s="307"/>
      <c r="G1" s="307"/>
      <c r="H1" s="307"/>
      <c r="I1" s="307"/>
      <c r="J1" s="307"/>
      <c r="K1" s="308"/>
    </row>
    <row r="2" spans="1:11" s="2" customFormat="1" ht="11.25" customHeight="1" x14ac:dyDescent="0.2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7"/>
    </row>
    <row r="3" spans="1:11" s="3" customFormat="1" ht="11.25" customHeight="1" x14ac:dyDescent="0.2">
      <c r="A3" s="28" t="s">
        <v>5</v>
      </c>
      <c r="K3" s="6"/>
    </row>
    <row r="4" spans="1:11" s="3" customFormat="1" ht="11.25" customHeight="1" x14ac:dyDescent="0.2">
      <c r="A4" s="28"/>
      <c r="K4" s="6"/>
    </row>
    <row r="5" spans="1:11" s="3" customFormat="1" ht="11.25" customHeight="1" x14ac:dyDescent="0.2">
      <c r="A5" s="28"/>
      <c r="K5" s="6"/>
    </row>
    <row r="6" spans="1:11" s="2" customFormat="1" ht="11.25" customHeight="1" x14ac:dyDescent="0.2">
      <c r="A6" s="9" t="s">
        <v>6</v>
      </c>
      <c r="B6" s="18"/>
      <c r="C6" s="18"/>
      <c r="D6" s="11"/>
      <c r="E6" s="12"/>
      <c r="F6" s="12"/>
      <c r="G6" s="13"/>
      <c r="H6" s="14"/>
      <c r="I6" s="15"/>
      <c r="J6" s="16"/>
      <c r="K6" s="17"/>
    </row>
    <row r="7" spans="1:11" s="2" customFormat="1" ht="11.25" customHeight="1" x14ac:dyDescent="0.2">
      <c r="A7" s="9"/>
      <c r="B7" s="18"/>
      <c r="C7" s="18"/>
      <c r="D7" s="11"/>
      <c r="E7" s="12"/>
      <c r="F7" s="12"/>
      <c r="G7" s="13"/>
      <c r="H7" s="14"/>
      <c r="I7" s="15"/>
      <c r="J7" s="16"/>
      <c r="K7" s="17"/>
    </row>
    <row r="8" spans="1:11" s="2" customFormat="1" ht="11.25" customHeight="1" x14ac:dyDescent="0.2">
      <c r="A8" s="9"/>
      <c r="B8" s="18"/>
      <c r="C8" s="18"/>
      <c r="D8" s="11"/>
      <c r="E8" s="12"/>
      <c r="F8" s="12"/>
      <c r="G8" s="13"/>
      <c r="H8" s="14"/>
      <c r="I8" s="15"/>
      <c r="J8" s="16"/>
      <c r="K8" s="17"/>
    </row>
    <row r="9" spans="1:11" s="2" customFormat="1" ht="22.5" customHeight="1" x14ac:dyDescent="0.2">
      <c r="A9" s="10"/>
      <c r="B9" s="19"/>
      <c r="C9" s="19"/>
      <c r="D9" s="304" t="s">
        <v>4</v>
      </c>
      <c r="E9" s="305"/>
      <c r="F9" s="214" t="s">
        <v>7</v>
      </c>
      <c r="G9" s="214" t="s">
        <v>8</v>
      </c>
      <c r="H9" s="19"/>
      <c r="I9" s="19"/>
      <c r="J9" s="19"/>
      <c r="K9" s="20"/>
    </row>
    <row r="10" spans="1:11" s="2" customFormat="1" ht="26.25" customHeight="1" x14ac:dyDescent="0.2">
      <c r="A10" s="21"/>
      <c r="B10" s="15"/>
      <c r="C10" s="22"/>
      <c r="D10" s="309" t="s">
        <v>162</v>
      </c>
      <c r="E10" s="309"/>
      <c r="F10" s="23">
        <v>200</v>
      </c>
      <c r="G10" s="144"/>
      <c r="H10" s="124"/>
      <c r="I10" s="25"/>
      <c r="J10" s="25"/>
      <c r="K10" s="26"/>
    </row>
    <row r="11" spans="1:11" s="2" customFormat="1" ht="15" customHeight="1" x14ac:dyDescent="0.2">
      <c r="A11" s="21"/>
      <c r="B11" s="24"/>
      <c r="C11" s="8"/>
      <c r="D11" s="310" t="s">
        <v>159</v>
      </c>
      <c r="E11" s="310"/>
      <c r="F11" s="209">
        <v>150</v>
      </c>
      <c r="G11" s="123"/>
      <c r="H11" s="25"/>
      <c r="I11" s="25"/>
      <c r="J11" s="25"/>
      <c r="K11" s="26"/>
    </row>
    <row r="12" spans="1:11" s="2" customFormat="1" ht="13.5" customHeight="1" x14ac:dyDescent="0.2">
      <c r="A12" s="21"/>
      <c r="B12" s="24"/>
      <c r="C12" s="8"/>
      <c r="D12" s="310" t="s">
        <v>9</v>
      </c>
      <c r="E12" s="310"/>
      <c r="F12" s="125">
        <v>54</v>
      </c>
      <c r="G12" s="126"/>
      <c r="H12" s="25"/>
      <c r="I12" s="25"/>
      <c r="J12" s="25"/>
      <c r="K12" s="26"/>
    </row>
    <row r="13" spans="1:11" s="2" customFormat="1" ht="34.5" customHeight="1" x14ac:dyDescent="0.2">
      <c r="A13" s="21"/>
      <c r="B13" s="24"/>
      <c r="C13" s="8"/>
      <c r="D13" s="310" t="s">
        <v>10</v>
      </c>
      <c r="E13" s="310"/>
      <c r="F13" s="140" t="s">
        <v>11</v>
      </c>
      <c r="G13" s="143"/>
      <c r="H13" s="25"/>
      <c r="I13" s="25"/>
      <c r="J13" s="25"/>
      <c r="K13" s="26"/>
    </row>
    <row r="14" spans="1:11" s="3" customFormat="1" ht="10.5" customHeight="1" x14ac:dyDescent="0.25">
      <c r="A14" s="97"/>
      <c r="B14" s="98"/>
      <c r="C14" s="27"/>
      <c r="D14" s="27"/>
      <c r="E14" s="27"/>
      <c r="F14" s="27"/>
      <c r="G14" s="27"/>
      <c r="H14" s="98"/>
      <c r="I14" s="98"/>
      <c r="J14" s="98"/>
      <c r="K14" s="99"/>
    </row>
    <row r="15" spans="1:11" s="3" customFormat="1" ht="10.5" customHeight="1" x14ac:dyDescent="0.25">
      <c r="A15" s="97"/>
      <c r="B15" s="98"/>
      <c r="C15" s="27"/>
      <c r="D15" s="27"/>
      <c r="E15" s="27"/>
      <c r="F15" s="27"/>
      <c r="G15" s="27"/>
      <c r="H15" s="98"/>
      <c r="I15" s="98"/>
      <c r="J15" s="98"/>
      <c r="K15" s="99"/>
    </row>
    <row r="16" spans="1:11" s="3" customFormat="1" ht="11.25" customHeight="1" x14ac:dyDescent="0.2">
      <c r="A16" s="30" t="s">
        <v>12</v>
      </c>
      <c r="K16" s="6"/>
    </row>
    <row r="17" spans="1:11" s="3" customFormat="1" ht="11.25" customHeight="1" x14ac:dyDescent="0.2">
      <c r="A17" s="30"/>
      <c r="K17" s="6"/>
    </row>
    <row r="18" spans="1:11" s="3" customFormat="1" ht="11.25" customHeight="1" x14ac:dyDescent="0.2">
      <c r="A18" s="28"/>
      <c r="K18" s="6"/>
    </row>
    <row r="19" spans="1:11" s="3" customFormat="1" ht="11.25" customHeight="1" x14ac:dyDescent="0.2">
      <c r="A19" s="40" t="s">
        <v>13</v>
      </c>
      <c r="C19" s="311" t="s">
        <v>14</v>
      </c>
      <c r="D19" s="311"/>
      <c r="E19" s="32">
        <f>5.67/2</f>
        <v>2.835</v>
      </c>
      <c r="F19" s="33" t="s">
        <v>2</v>
      </c>
      <c r="G19" s="312"/>
      <c r="H19" s="312"/>
      <c r="I19" s="225"/>
      <c r="J19" s="320"/>
      <c r="K19" s="226"/>
    </row>
    <row r="20" spans="1:11" s="3" customFormat="1" ht="11.25" customHeight="1" x14ac:dyDescent="0.2">
      <c r="A20" s="29"/>
      <c r="C20" s="322" t="s">
        <v>17</v>
      </c>
      <c r="D20" s="322"/>
      <c r="E20" s="32">
        <v>3</v>
      </c>
      <c r="F20" s="33" t="s">
        <v>2</v>
      </c>
      <c r="G20" s="321"/>
      <c r="H20" s="321"/>
      <c r="I20" s="227"/>
      <c r="J20" s="320"/>
      <c r="K20" s="228"/>
    </row>
    <row r="21" spans="1:11" s="3" customFormat="1" ht="11.25" customHeight="1" x14ac:dyDescent="0.2">
      <c r="A21" s="29"/>
      <c r="B21" s="211" t="s">
        <v>20</v>
      </c>
      <c r="C21" s="322" t="s">
        <v>21</v>
      </c>
      <c r="D21" s="322"/>
      <c r="E21" s="37">
        <v>3</v>
      </c>
      <c r="F21" s="33" t="s">
        <v>2</v>
      </c>
      <c r="G21" s="214" t="s">
        <v>22</v>
      </c>
      <c r="H21" s="229">
        <f>E21/E19</f>
        <v>1.0582010582010581</v>
      </c>
      <c r="I21" s="318" t="s">
        <v>156</v>
      </c>
      <c r="J21" s="318"/>
      <c r="K21" s="319"/>
    </row>
    <row r="22" spans="1:11" s="3" customFormat="1" ht="11.25" customHeight="1" x14ac:dyDescent="0.2">
      <c r="A22" s="29"/>
      <c r="K22" s="6"/>
    </row>
    <row r="23" spans="1:11" s="3" customFormat="1" ht="11.25" customHeight="1" x14ac:dyDescent="0.2">
      <c r="A23" s="29"/>
      <c r="K23" s="6"/>
    </row>
    <row r="24" spans="1:11" s="3" customFormat="1" ht="11.25" customHeight="1" x14ac:dyDescent="0.2">
      <c r="A24" s="28" t="s">
        <v>23</v>
      </c>
      <c r="K24" s="6"/>
    </row>
    <row r="25" spans="1:11" s="3" customFormat="1" ht="11.25" customHeight="1" x14ac:dyDescent="0.2">
      <c r="A25" s="28"/>
      <c r="K25" s="6"/>
    </row>
    <row r="26" spans="1:11" s="3" customFormat="1" ht="11.25" customHeight="1" x14ac:dyDescent="0.2">
      <c r="A26" s="28"/>
      <c r="K26" s="6"/>
    </row>
    <row r="27" spans="1:11" s="3" customFormat="1" ht="11.25" customHeight="1" x14ac:dyDescent="0.2">
      <c r="A27" s="41" t="s">
        <v>24</v>
      </c>
      <c r="B27" s="4" t="s">
        <v>25</v>
      </c>
      <c r="C27" s="4"/>
      <c r="G27" s="223"/>
      <c r="H27" s="224"/>
      <c r="I27" s="165"/>
      <c r="K27" s="6"/>
    </row>
    <row r="28" spans="1:11" s="3" customFormat="1" ht="11.25" customHeight="1" x14ac:dyDescent="0.2">
      <c r="A28" s="139"/>
      <c r="B28" s="4"/>
      <c r="C28" s="4"/>
      <c r="G28" s="127"/>
      <c r="H28" s="138"/>
      <c r="I28" s="165"/>
      <c r="K28" s="6"/>
    </row>
    <row r="29" spans="1:11" s="3" customFormat="1" ht="11.25" customHeight="1" x14ac:dyDescent="0.2">
      <c r="A29" s="139"/>
      <c r="B29" s="4"/>
      <c r="C29" s="4"/>
      <c r="K29" s="6"/>
    </row>
    <row r="30" spans="1:11" s="3" customFormat="1" ht="11.25" customHeight="1" x14ac:dyDescent="0.2">
      <c r="A30" s="30" t="s">
        <v>26</v>
      </c>
      <c r="B30" s="127"/>
      <c r="C30" s="138"/>
      <c r="D30" s="33"/>
      <c r="E30" s="38"/>
      <c r="G30" s="33"/>
      <c r="H30" s="33"/>
      <c r="I30" s="33"/>
      <c r="J30" s="33"/>
      <c r="K30" s="6"/>
    </row>
    <row r="31" spans="1:11" s="3" customFormat="1" ht="11.25" customHeight="1" x14ac:dyDescent="0.2">
      <c r="A31" s="30"/>
      <c r="B31" s="127"/>
      <c r="C31" s="138"/>
      <c r="D31" s="33"/>
      <c r="E31" s="38"/>
      <c r="G31" s="33"/>
      <c r="H31" s="33"/>
      <c r="I31" s="33"/>
      <c r="J31" s="33"/>
      <c r="K31" s="6"/>
    </row>
    <row r="32" spans="1:11" s="3" customFormat="1" ht="11.25" customHeight="1" x14ac:dyDescent="0.2">
      <c r="A32" s="29"/>
      <c r="B32" s="127"/>
      <c r="C32" s="138"/>
      <c r="D32" s="33"/>
      <c r="E32" s="38"/>
      <c r="G32" s="33"/>
      <c r="H32" s="33"/>
      <c r="I32" s="33"/>
      <c r="J32" s="33"/>
      <c r="K32" s="6"/>
    </row>
    <row r="33" spans="1:11" s="3" customFormat="1" ht="11.25" customHeight="1" x14ac:dyDescent="0.2">
      <c r="A33" s="39"/>
      <c r="C33" s="40" t="s">
        <v>27</v>
      </c>
      <c r="D33" s="40" t="s">
        <v>28</v>
      </c>
      <c r="E33" s="41" t="s">
        <v>29</v>
      </c>
      <c r="G33" s="44"/>
      <c r="K33" s="6"/>
    </row>
    <row r="34" spans="1:11" s="3" customFormat="1" ht="11.25" customHeight="1" x14ac:dyDescent="0.2">
      <c r="A34" s="39"/>
      <c r="C34" s="42">
        <f>E21</f>
        <v>3</v>
      </c>
      <c r="D34" s="42">
        <f>E19</f>
        <v>2.835</v>
      </c>
      <c r="E34" s="42">
        <f>F10/1000</f>
        <v>0.2</v>
      </c>
      <c r="K34" s="6"/>
    </row>
    <row r="35" spans="1:11" s="3" customFormat="1" ht="11.25" customHeight="1" x14ac:dyDescent="0.2">
      <c r="A35" s="29"/>
      <c r="C35" s="40" t="s">
        <v>30</v>
      </c>
      <c r="D35" s="40" t="s">
        <v>31</v>
      </c>
      <c r="E35" s="41" t="s">
        <v>32</v>
      </c>
      <c r="F35" s="4"/>
      <c r="G35" s="163"/>
      <c r="K35" s="6"/>
    </row>
    <row r="36" spans="1:11" s="3" customFormat="1" ht="11.25" customHeight="1" x14ac:dyDescent="0.2">
      <c r="A36" s="29"/>
      <c r="C36" s="43">
        <f>C34/0.0254</f>
        <v>118.11023622047244</v>
      </c>
      <c r="D36" s="43">
        <f>D34/0.0254</f>
        <v>111.61417322834646</v>
      </c>
      <c r="E36" s="43">
        <f>E34/0.0254</f>
        <v>7.8740157480314972</v>
      </c>
      <c r="K36" s="6"/>
    </row>
    <row r="37" spans="1:11" s="3" customFormat="1" ht="11.25" customHeight="1" x14ac:dyDescent="0.2">
      <c r="A37" s="29"/>
      <c r="K37" s="6"/>
    </row>
    <row r="38" spans="1:11" s="3" customFormat="1" ht="11.25" customHeight="1" x14ac:dyDescent="0.2">
      <c r="A38" s="52"/>
      <c r="D38" s="25"/>
      <c r="E38" s="25"/>
      <c r="F38" s="25"/>
      <c r="G38" s="25"/>
      <c r="H38" s="44"/>
      <c r="I38" s="47"/>
      <c r="J38" s="44"/>
      <c r="K38" s="6"/>
    </row>
    <row r="39" spans="1:11" s="3" customFormat="1" ht="10.5" customHeight="1" x14ac:dyDescent="0.2">
      <c r="A39" s="29"/>
      <c r="B39" s="44"/>
      <c r="I39" s="47"/>
      <c r="J39" s="44"/>
      <c r="K39" s="6"/>
    </row>
    <row r="40" spans="1:11" s="3" customFormat="1" ht="10.5" customHeight="1" x14ac:dyDescent="0.2">
      <c r="A40" s="29"/>
      <c r="I40" s="47"/>
      <c r="J40" s="44"/>
      <c r="K40" s="6"/>
    </row>
    <row r="41" spans="1:11" s="3" customFormat="1" ht="10.5" customHeight="1" x14ac:dyDescent="0.2">
      <c r="A41" s="29"/>
      <c r="I41" s="47"/>
      <c r="J41" s="44"/>
      <c r="K41" s="6"/>
    </row>
    <row r="42" spans="1:11" s="3" customFormat="1" ht="15" customHeight="1" x14ac:dyDescent="0.2">
      <c r="A42" s="29"/>
      <c r="I42" s="47"/>
      <c r="J42" s="44"/>
      <c r="K42" s="6"/>
    </row>
    <row r="43" spans="1:11" s="3" customFormat="1" ht="15" customHeight="1" x14ac:dyDescent="0.2">
      <c r="A43" s="29"/>
      <c r="B43" s="164"/>
      <c r="H43" s="142"/>
      <c r="I43" s="47"/>
      <c r="J43" s="163"/>
      <c r="K43" s="6"/>
    </row>
    <row r="44" spans="1:11" s="3" customFormat="1" ht="10.5" customHeight="1" x14ac:dyDescent="0.2">
      <c r="A44" s="29"/>
      <c r="I44" s="47"/>
      <c r="J44" s="44"/>
      <c r="K44" s="6"/>
    </row>
    <row r="45" spans="1:11" s="3" customFormat="1" ht="10.5" customHeight="1" x14ac:dyDescent="0.2">
      <c r="A45" s="113"/>
      <c r="B45" s="114"/>
      <c r="C45" s="114"/>
      <c r="D45" s="114"/>
      <c r="E45" s="114"/>
      <c r="F45" s="114"/>
      <c r="G45" s="114"/>
      <c r="H45" s="114"/>
      <c r="I45" s="57"/>
      <c r="J45" s="154"/>
      <c r="K45" s="115"/>
    </row>
    <row r="46" spans="1:11" s="33" customFormat="1" ht="11.25" customHeight="1" x14ac:dyDescent="0.2">
      <c r="A46" s="155" t="s">
        <v>33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41"/>
    </row>
    <row r="47" spans="1:11" s="33" customFormat="1" ht="11.25" customHeight="1" x14ac:dyDescent="0.2">
      <c r="A47" s="28"/>
      <c r="K47" s="53"/>
    </row>
    <row r="48" spans="1:11" s="33" customFormat="1" ht="11.25" customHeight="1" x14ac:dyDescent="0.2">
      <c r="A48" s="54"/>
      <c r="K48" s="53"/>
    </row>
    <row r="49" spans="1:11" s="33" customFormat="1" ht="11.25" customHeight="1" x14ac:dyDescent="0.2">
      <c r="A49" s="52" t="s">
        <v>34</v>
      </c>
      <c r="K49" s="53"/>
    </row>
    <row r="50" spans="1:11" s="33" customFormat="1" ht="11.25" customHeight="1" x14ac:dyDescent="0.2">
      <c r="A50" s="52"/>
      <c r="K50" s="53"/>
    </row>
    <row r="51" spans="1:11" s="33" customFormat="1" ht="11.25" customHeight="1" x14ac:dyDescent="0.2">
      <c r="A51" s="54"/>
      <c r="K51" s="53"/>
    </row>
    <row r="52" spans="1:11" s="33" customFormat="1" ht="11.25" customHeight="1" x14ac:dyDescent="0.2">
      <c r="A52" s="211" t="s">
        <v>35</v>
      </c>
      <c r="B52" s="211" t="s">
        <v>36</v>
      </c>
      <c r="C52" s="211">
        <v>4200</v>
      </c>
      <c r="D52" s="66" t="s">
        <v>3</v>
      </c>
      <c r="E52" s="211">
        <f>C52/0.07</f>
        <v>59999.999999999993</v>
      </c>
      <c r="F52" s="66" t="s">
        <v>37</v>
      </c>
      <c r="K52" s="53"/>
    </row>
    <row r="53" spans="1:11" s="33" customFormat="1" ht="11.25" customHeight="1" x14ac:dyDescent="0.2">
      <c r="A53" s="211" t="s">
        <v>38</v>
      </c>
      <c r="B53" s="61" t="s">
        <v>39</v>
      </c>
      <c r="C53" s="211">
        <v>12.7</v>
      </c>
      <c r="D53" s="66" t="s">
        <v>40</v>
      </c>
      <c r="E53" s="62">
        <f>C53/25.4</f>
        <v>0.5</v>
      </c>
      <c r="F53" s="66" t="s">
        <v>41</v>
      </c>
      <c r="K53" s="53"/>
    </row>
    <row r="54" spans="1:11" s="33" customFormat="1" ht="11.25" customHeight="1" x14ac:dyDescent="0.2">
      <c r="A54" s="315" t="s">
        <v>42</v>
      </c>
      <c r="B54" s="317"/>
      <c r="C54" s="211" t="s">
        <v>43</v>
      </c>
      <c r="K54" s="53"/>
    </row>
    <row r="55" spans="1:11" s="33" customFormat="1" ht="11.25" customHeight="1" x14ac:dyDescent="0.2">
      <c r="A55" s="48"/>
      <c r="B55" s="63"/>
      <c r="K55" s="53"/>
    </row>
    <row r="56" spans="1:11" s="33" customFormat="1" ht="11.25" customHeight="1" x14ac:dyDescent="0.2">
      <c r="A56" s="70" t="s">
        <v>44</v>
      </c>
      <c r="K56" s="53"/>
    </row>
    <row r="57" spans="1:11" s="33" customFormat="1" ht="11.25" customHeight="1" x14ac:dyDescent="0.2">
      <c r="A57" s="315" t="s">
        <v>45</v>
      </c>
      <c r="B57" s="316"/>
      <c r="C57" s="317"/>
      <c r="D57" s="313" t="s">
        <v>13</v>
      </c>
      <c r="E57" s="314"/>
      <c r="K57" s="53"/>
    </row>
    <row r="58" spans="1:11" s="33" customFormat="1" ht="11.25" customHeight="1" x14ac:dyDescent="0.2">
      <c r="A58" s="315" t="s">
        <v>46</v>
      </c>
      <c r="B58" s="316"/>
      <c r="C58" s="317"/>
      <c r="D58" s="193" t="s">
        <v>157</v>
      </c>
      <c r="E58" s="194"/>
      <c r="F58" s="195"/>
      <c r="G58" s="212"/>
      <c r="K58" s="53"/>
    </row>
    <row r="59" spans="1:11" s="33" customFormat="1" ht="11.25" customHeight="1" x14ac:dyDescent="0.2">
      <c r="A59" s="315" t="s">
        <v>47</v>
      </c>
      <c r="B59" s="316"/>
      <c r="C59" s="317"/>
      <c r="D59" s="326" t="s">
        <v>48</v>
      </c>
      <c r="E59" s="327"/>
      <c r="F59" s="327"/>
      <c r="G59" s="328"/>
      <c r="K59" s="53"/>
    </row>
    <row r="60" spans="1:11" s="33" customFormat="1" ht="11.25" customHeight="1" x14ac:dyDescent="0.2">
      <c r="A60" s="54"/>
      <c r="K60" s="53"/>
    </row>
    <row r="61" spans="1:11" s="33" customFormat="1" ht="11.25" customHeight="1" x14ac:dyDescent="0.2">
      <c r="A61" s="54"/>
      <c r="K61" s="53"/>
    </row>
    <row r="62" spans="1:11" s="33" customFormat="1" ht="11.25" customHeight="1" x14ac:dyDescent="0.2">
      <c r="A62" s="70" t="s">
        <v>49</v>
      </c>
      <c r="B62" s="64"/>
      <c r="E62" s="65"/>
      <c r="K62" s="53"/>
    </row>
    <row r="63" spans="1:11" s="33" customFormat="1" ht="11.25" customHeight="1" x14ac:dyDescent="0.2">
      <c r="A63" s="211" t="s">
        <v>50</v>
      </c>
      <c r="B63" s="211" t="s">
        <v>51</v>
      </c>
      <c r="C63" s="128">
        <f>($D$34-0.2)</f>
        <v>2.6349999999999998</v>
      </c>
      <c r="D63" s="66" t="s">
        <v>52</v>
      </c>
      <c r="E63" s="66"/>
      <c r="K63" s="53"/>
    </row>
    <row r="64" spans="1:11" s="33" customFormat="1" ht="11.25" customHeight="1" x14ac:dyDescent="0.2">
      <c r="A64" s="67" t="s">
        <v>53</v>
      </c>
      <c r="B64" s="67" t="s">
        <v>54</v>
      </c>
      <c r="C64" s="211">
        <v>0.2</v>
      </c>
      <c r="D64" s="66" t="s">
        <v>52</v>
      </c>
      <c r="K64" s="53"/>
    </row>
    <row r="65" spans="1:11" s="33" customFormat="1" ht="11.25" customHeight="1" x14ac:dyDescent="0.2">
      <c r="A65" s="213" t="s">
        <v>55</v>
      </c>
      <c r="B65" s="179">
        <f>($C$34)/($C$64)</f>
        <v>15</v>
      </c>
      <c r="C65" s="68"/>
      <c r="K65" s="53"/>
    </row>
    <row r="66" spans="1:11" s="33" customFormat="1" ht="11.25" customHeight="1" x14ac:dyDescent="0.2">
      <c r="A66" s="93"/>
      <c r="B66" s="177"/>
      <c r="C66" s="178"/>
      <c r="K66" s="53"/>
    </row>
    <row r="67" spans="1:11" s="33" customFormat="1" ht="11.25" customHeight="1" x14ac:dyDescent="0.2">
      <c r="A67" s="54"/>
      <c r="K67" s="53"/>
    </row>
    <row r="68" spans="1:11" s="33" customFormat="1" ht="11.25" customHeight="1" x14ac:dyDescent="0.2">
      <c r="A68" s="70" t="s">
        <v>56</v>
      </c>
      <c r="B68" s="64"/>
      <c r="E68" s="65"/>
      <c r="K68" s="53"/>
    </row>
    <row r="69" spans="1:11" s="33" customFormat="1" ht="11.25" customHeight="1" x14ac:dyDescent="0.2">
      <c r="A69" s="211" t="s">
        <v>50</v>
      </c>
      <c r="B69" s="211" t="s">
        <v>51</v>
      </c>
      <c r="C69" s="128">
        <f>($C$34-0.2)</f>
        <v>2.8</v>
      </c>
      <c r="D69" s="66" t="s">
        <v>52</v>
      </c>
      <c r="E69" s="66"/>
      <c r="K69" s="53"/>
    </row>
    <row r="70" spans="1:11" s="33" customFormat="1" ht="11.25" customHeight="1" x14ac:dyDescent="0.2">
      <c r="A70" s="67" t="s">
        <v>53</v>
      </c>
      <c r="B70" s="67" t="s">
        <v>54</v>
      </c>
      <c r="C70" s="211">
        <v>0.2</v>
      </c>
      <c r="D70" s="66" t="s">
        <v>52</v>
      </c>
      <c r="K70" s="53"/>
    </row>
    <row r="71" spans="1:11" s="33" customFormat="1" ht="11.25" customHeight="1" x14ac:dyDescent="0.2">
      <c r="A71" s="213" t="s">
        <v>55</v>
      </c>
      <c r="B71" s="179">
        <f>($D$34)/($C$70)</f>
        <v>14.174999999999999</v>
      </c>
      <c r="C71" s="68"/>
      <c r="K71" s="53"/>
    </row>
    <row r="72" spans="1:11" s="33" customFormat="1" ht="11.25" customHeight="1" x14ac:dyDescent="0.2">
      <c r="A72" s="54"/>
      <c r="D72" s="162"/>
      <c r="E72" s="162"/>
      <c r="F72" s="162"/>
      <c r="G72" s="162"/>
      <c r="H72" s="47"/>
      <c r="I72" s="47"/>
      <c r="J72" s="332"/>
      <c r="K72" s="333"/>
    </row>
    <row r="73" spans="1:11" s="33" customFormat="1" ht="11.25" customHeight="1" x14ac:dyDescent="0.2">
      <c r="A73" s="54"/>
      <c r="I73" s="47"/>
      <c r="K73" s="53"/>
    </row>
    <row r="74" spans="1:11" s="33" customFormat="1" ht="11.25" customHeight="1" x14ac:dyDescent="0.2">
      <c r="A74" s="54"/>
      <c r="K74" s="53"/>
    </row>
    <row r="75" spans="1:11" s="33" customFormat="1" ht="11.25" customHeight="1" x14ac:dyDescent="0.25">
      <c r="A75" s="93"/>
      <c r="B75"/>
      <c r="C75"/>
      <c r="D75"/>
      <c r="E75"/>
      <c r="F75"/>
      <c r="G75" s="3"/>
      <c r="H75" s="3"/>
      <c r="I75" s="3"/>
      <c r="J75" s="3"/>
      <c r="K75" s="217"/>
    </row>
    <row r="76" spans="1:11" s="33" customFormat="1" ht="11.25" customHeight="1" x14ac:dyDescent="0.2">
      <c r="A76" s="54"/>
      <c r="D76" s="44"/>
      <c r="I76" s="44"/>
      <c r="K76" s="53"/>
    </row>
    <row r="77" spans="1:11" s="33" customFormat="1" ht="11.25" customHeight="1" x14ac:dyDescent="0.2">
      <c r="A77" s="186"/>
      <c r="B77" s="4"/>
      <c r="K77" s="53"/>
    </row>
    <row r="78" spans="1:11" s="33" customFormat="1" ht="11.25" customHeight="1" x14ac:dyDescent="0.2">
      <c r="A78" s="186"/>
      <c r="B78" s="162"/>
      <c r="C78" s="162"/>
      <c r="D78" s="162"/>
      <c r="E78" s="162"/>
      <c r="F78" s="162"/>
      <c r="G78" s="47"/>
      <c r="H78" s="47"/>
      <c r="J78" s="47"/>
      <c r="K78" s="46"/>
    </row>
    <row r="79" spans="1:11" s="33" customFormat="1" ht="11.25" customHeight="1" x14ac:dyDescent="0.2">
      <c r="A79" s="54"/>
      <c r="D79" s="162"/>
      <c r="E79" s="162"/>
      <c r="F79" s="162"/>
      <c r="G79" s="162"/>
      <c r="H79" s="162"/>
      <c r="K79" s="53"/>
    </row>
    <row r="80" spans="1:11" s="33" customFormat="1" ht="11.25" customHeight="1" x14ac:dyDescent="0.2">
      <c r="A80" s="54"/>
      <c r="B80" s="175"/>
      <c r="C80" s="175"/>
      <c r="D80" s="175"/>
      <c r="E80" s="175"/>
      <c r="F80" s="175"/>
      <c r="H80" s="176"/>
      <c r="I80" s="176"/>
      <c r="J80" s="176"/>
      <c r="K80" s="53"/>
    </row>
    <row r="81" spans="1:11" s="33" customFormat="1" ht="11.25" customHeight="1" x14ac:dyDescent="0.2">
      <c r="A81" s="54"/>
      <c r="K81" s="53"/>
    </row>
    <row r="82" spans="1:11" s="33" customFormat="1" ht="11.25" customHeight="1" x14ac:dyDescent="0.2">
      <c r="A82" s="54"/>
      <c r="E82" s="59"/>
      <c r="F82" s="142"/>
      <c r="G82" s="44"/>
      <c r="K82" s="53"/>
    </row>
    <row r="83" spans="1:11" s="33" customFormat="1" ht="11.25" customHeight="1" x14ac:dyDescent="0.2">
      <c r="A83" s="54"/>
      <c r="E83" s="59"/>
      <c r="F83" s="44"/>
      <c r="G83" s="44"/>
      <c r="K83" s="53"/>
    </row>
    <row r="84" spans="1:11" s="33" customFormat="1" ht="11.25" customHeight="1" x14ac:dyDescent="0.2">
      <c r="A84" s="54"/>
      <c r="E84" s="59"/>
      <c r="F84" s="44"/>
      <c r="G84" s="44"/>
      <c r="K84" s="53"/>
    </row>
    <row r="85" spans="1:11" s="33" customFormat="1" ht="11.25" customHeight="1" x14ac:dyDescent="0.2">
      <c r="A85" s="54"/>
      <c r="E85" s="59"/>
      <c r="F85" s="44"/>
      <c r="G85" s="63"/>
      <c r="H85" s="45"/>
      <c r="K85" s="53"/>
    </row>
    <row r="86" spans="1:11" s="33" customFormat="1" ht="11.25" customHeight="1" x14ac:dyDescent="0.2">
      <c r="A86" s="54"/>
      <c r="E86" s="59"/>
      <c r="F86" s="44"/>
      <c r="G86" s="63"/>
      <c r="H86" s="45"/>
      <c r="K86" s="53"/>
    </row>
    <row r="87" spans="1:11" s="33" customFormat="1" ht="11.25" customHeight="1" x14ac:dyDescent="0.2">
      <c r="A87" s="54"/>
      <c r="E87" s="59"/>
      <c r="F87" s="44"/>
      <c r="G87" s="63"/>
      <c r="H87" s="45"/>
      <c r="K87" s="53"/>
    </row>
    <row r="88" spans="1:11" s="33" customFormat="1" ht="11.25" customHeight="1" x14ac:dyDescent="0.2">
      <c r="A88" s="54"/>
      <c r="E88" s="59"/>
      <c r="F88" s="44"/>
      <c r="G88" s="63"/>
      <c r="H88" s="45"/>
      <c r="K88" s="53"/>
    </row>
    <row r="89" spans="1:11" s="33" customFormat="1" ht="11.25" customHeight="1" x14ac:dyDescent="0.2">
      <c r="A89" s="54"/>
      <c r="E89" s="59"/>
      <c r="F89" s="44"/>
      <c r="G89" s="63"/>
      <c r="H89" s="45"/>
      <c r="K89" s="53"/>
    </row>
    <row r="90" spans="1:11" s="33" customFormat="1" ht="11.25" customHeight="1" x14ac:dyDescent="0.2">
      <c r="A90" s="54"/>
      <c r="E90" s="59"/>
      <c r="F90" s="44"/>
      <c r="G90" s="63"/>
      <c r="H90" s="45"/>
      <c r="K90" s="53"/>
    </row>
    <row r="91" spans="1:11" s="33" customFormat="1" ht="11.25" customHeight="1" x14ac:dyDescent="0.2">
      <c r="A91" s="54"/>
      <c r="E91" s="59"/>
      <c r="F91" s="44"/>
      <c r="G91" s="63"/>
      <c r="H91" s="45"/>
      <c r="K91" s="53"/>
    </row>
    <row r="92" spans="1:11" s="33" customFormat="1" ht="11.25" customHeight="1" x14ac:dyDescent="0.2">
      <c r="A92" s="54"/>
      <c r="E92" s="59"/>
      <c r="F92" s="44"/>
      <c r="G92" s="63"/>
      <c r="H92" s="45"/>
      <c r="K92" s="53"/>
    </row>
    <row r="93" spans="1:11" s="33" customFormat="1" ht="11.25" customHeight="1" x14ac:dyDescent="0.2">
      <c r="A93" s="54"/>
      <c r="E93" s="59"/>
      <c r="F93" s="44"/>
      <c r="G93" s="63"/>
      <c r="H93" s="45"/>
      <c r="K93" s="53"/>
    </row>
    <row r="94" spans="1:11" s="33" customFormat="1" ht="11.25" customHeight="1" x14ac:dyDescent="0.2">
      <c r="A94" s="54"/>
      <c r="E94" s="59"/>
      <c r="F94" s="44"/>
      <c r="G94" s="44"/>
      <c r="K94" s="53"/>
    </row>
    <row r="95" spans="1:11" s="33" customFormat="1" ht="11.25" customHeight="1" x14ac:dyDescent="0.2">
      <c r="A95" s="54"/>
      <c r="E95" s="59"/>
      <c r="F95" s="44"/>
      <c r="G95" s="44"/>
      <c r="K95" s="53"/>
    </row>
    <row r="96" spans="1:11" s="33" customFormat="1" ht="11.25" customHeight="1" x14ac:dyDescent="0.2">
      <c r="A96" s="145"/>
      <c r="B96" s="56"/>
      <c r="C96" s="56"/>
      <c r="D96" s="56"/>
      <c r="E96" s="187"/>
      <c r="F96" s="154"/>
      <c r="G96" s="188"/>
      <c r="H96" s="56"/>
      <c r="I96" s="56"/>
      <c r="J96" s="56"/>
      <c r="K96" s="58"/>
    </row>
    <row r="97" spans="1:11" s="33" customFormat="1" ht="11.25" customHeight="1" x14ac:dyDescent="0.2">
      <c r="A97" s="158" t="s">
        <v>57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41"/>
    </row>
    <row r="98" spans="1:11" s="33" customFormat="1" ht="11.25" customHeight="1" x14ac:dyDescent="0.2">
      <c r="A98" s="52"/>
      <c r="K98" s="53"/>
    </row>
    <row r="99" spans="1:11" s="33" customFormat="1" ht="11.25" customHeight="1" x14ac:dyDescent="0.2">
      <c r="A99" s="52"/>
      <c r="K99" s="53"/>
    </row>
    <row r="100" spans="1:11" s="33" customFormat="1" ht="11.25" customHeight="1" x14ac:dyDescent="0.2">
      <c r="A100" s="52" t="s">
        <v>58</v>
      </c>
      <c r="K100" s="53"/>
    </row>
    <row r="101" spans="1:11" s="33" customFormat="1" ht="11.25" customHeight="1" x14ac:dyDescent="0.2">
      <c r="A101" s="52"/>
      <c r="K101" s="53"/>
    </row>
    <row r="102" spans="1:11" s="33" customFormat="1" ht="11.25" customHeight="1" x14ac:dyDescent="0.2">
      <c r="A102" s="70"/>
      <c r="K102" s="53"/>
    </row>
    <row r="103" spans="1:11" s="33" customFormat="1" ht="15" customHeight="1" x14ac:dyDescent="0.35">
      <c r="A103" s="54"/>
      <c r="B103" s="345" t="s">
        <v>59</v>
      </c>
      <c r="C103" s="345"/>
      <c r="D103" s="345"/>
      <c r="E103" s="345"/>
      <c r="F103" s="63" t="s">
        <v>60</v>
      </c>
      <c r="K103" s="53"/>
    </row>
    <row r="104" spans="1:11" s="33" customFormat="1" ht="11.25" customHeight="1" x14ac:dyDescent="0.2">
      <c r="A104" s="54"/>
      <c r="B104" s="71"/>
      <c r="C104" s="71"/>
      <c r="D104" s="71"/>
      <c r="K104" s="53"/>
    </row>
    <row r="105" spans="1:11" s="33" customFormat="1" ht="15" customHeight="1" x14ac:dyDescent="0.35">
      <c r="A105" s="54"/>
      <c r="B105" s="346" t="s">
        <v>61</v>
      </c>
      <c r="C105" s="346"/>
      <c r="D105" s="346"/>
      <c r="E105" s="346"/>
      <c r="F105" s="63" t="s">
        <v>62</v>
      </c>
      <c r="K105" s="53"/>
    </row>
    <row r="106" spans="1:11" s="33" customFormat="1" ht="11.25" customHeight="1" x14ac:dyDescent="0.25">
      <c r="A106" s="54"/>
      <c r="B106" s="73"/>
      <c r="C106" s="73"/>
      <c r="D106" s="73"/>
      <c r="E106" s="63"/>
      <c r="K106" s="53"/>
    </row>
    <row r="107" spans="1:11" s="33" customFormat="1" ht="15" customHeight="1" x14ac:dyDescent="0.35">
      <c r="A107" s="54"/>
      <c r="B107" s="346" t="s">
        <v>63</v>
      </c>
      <c r="C107" s="346"/>
      <c r="D107" s="346"/>
      <c r="E107" s="47"/>
      <c r="F107" s="47" t="s">
        <v>64</v>
      </c>
      <c r="H107" s="74"/>
      <c r="K107" s="53"/>
    </row>
    <row r="108" spans="1:11" s="33" customFormat="1" ht="11.25" customHeight="1" x14ac:dyDescent="0.25">
      <c r="A108" s="54"/>
      <c r="B108" s="73"/>
      <c r="C108" s="73"/>
      <c r="D108" s="4"/>
      <c r="K108" s="53"/>
    </row>
    <row r="109" spans="1:11" s="33" customFormat="1" ht="18.75" customHeight="1" x14ac:dyDescent="0.2">
      <c r="A109" s="330" t="s">
        <v>65</v>
      </c>
      <c r="B109" s="331"/>
      <c r="C109" s="329" t="s">
        <v>66</v>
      </c>
      <c r="D109" s="329"/>
      <c r="E109" s="329"/>
      <c r="K109" s="53"/>
    </row>
    <row r="110" spans="1:11" s="33" customFormat="1" ht="11.25" customHeight="1" x14ac:dyDescent="0.2">
      <c r="A110" s="216"/>
      <c r="B110" s="45"/>
      <c r="C110" s="183"/>
      <c r="D110" s="183"/>
      <c r="E110" s="183"/>
      <c r="K110" s="53"/>
    </row>
    <row r="111" spans="1:11" s="3" customFormat="1" ht="11.25" customHeight="1" x14ac:dyDescent="0.2">
      <c r="A111" s="29" t="s">
        <v>67</v>
      </c>
      <c r="D111" s="184">
        <f>$C$36</f>
        <v>118.11023622047244</v>
      </c>
      <c r="E111" s="70" t="s">
        <v>68</v>
      </c>
      <c r="F111" s="75"/>
      <c r="G111" s="33"/>
      <c r="K111" s="6"/>
    </row>
    <row r="112" spans="1:11" s="3" customFormat="1" ht="11.25" customHeight="1" x14ac:dyDescent="0.2">
      <c r="A112" s="29" t="s">
        <v>69</v>
      </c>
      <c r="D112" s="184">
        <v>3674288</v>
      </c>
      <c r="E112" s="70" t="s">
        <v>70</v>
      </c>
      <c r="F112" s="77"/>
      <c r="G112" s="33"/>
      <c r="H112" s="33"/>
      <c r="I112" s="222"/>
      <c r="K112" s="6"/>
    </row>
    <row r="113" spans="1:11" s="3" customFormat="1" ht="11.25" customHeight="1" x14ac:dyDescent="0.2">
      <c r="A113" s="29" t="s">
        <v>71</v>
      </c>
      <c r="D113" s="78">
        <f>$E$36</f>
        <v>7.8740157480314972</v>
      </c>
      <c r="E113" s="70" t="s">
        <v>68</v>
      </c>
      <c r="F113" s="79"/>
      <c r="G113" s="33"/>
      <c r="K113" s="6"/>
    </row>
    <row r="114" spans="1:11" s="3" customFormat="1" ht="11.25" customHeight="1" x14ac:dyDescent="0.25">
      <c r="A114" s="80" t="s">
        <v>72</v>
      </c>
      <c r="D114" s="213">
        <v>0.15</v>
      </c>
      <c r="E114" s="130" t="s">
        <v>0</v>
      </c>
      <c r="F114" s="49"/>
      <c r="G114" s="81"/>
      <c r="K114" s="6"/>
    </row>
    <row r="115" spans="1:11" s="3" customFormat="1" ht="11.25" customHeight="1" x14ac:dyDescent="0.2">
      <c r="A115" s="29" t="s">
        <v>73</v>
      </c>
      <c r="D115" s="76">
        <v>135.55000000000001</v>
      </c>
      <c r="E115" s="131" t="s">
        <v>74</v>
      </c>
      <c r="F115" s="77"/>
      <c r="G115" s="7"/>
      <c r="K115" s="6"/>
    </row>
    <row r="116" spans="1:11" s="3" customFormat="1" ht="15" customHeight="1" x14ac:dyDescent="0.3">
      <c r="A116" s="29" t="s">
        <v>75</v>
      </c>
      <c r="D116" s="78">
        <f>(($D$112*$D$113^3)/(12*(1-$D$114^2)*$D$115))^0.25</f>
        <v>32.590507576295451</v>
      </c>
      <c r="E116" s="70" t="s">
        <v>68</v>
      </c>
      <c r="F116" s="75"/>
      <c r="G116" s="33"/>
      <c r="K116" s="6"/>
    </row>
    <row r="117" spans="1:11" s="3" customFormat="1" ht="11.25" customHeight="1" x14ac:dyDescent="0.2">
      <c r="A117" s="29"/>
      <c r="D117" s="83"/>
      <c r="K117" s="6"/>
    </row>
    <row r="118" spans="1:11" s="3" customFormat="1" ht="11.25" customHeight="1" x14ac:dyDescent="0.2">
      <c r="A118" s="29"/>
      <c r="D118" s="83"/>
      <c r="K118" s="6"/>
    </row>
    <row r="119" spans="1:11" s="33" customFormat="1" ht="11.25" customHeight="1" x14ac:dyDescent="0.2">
      <c r="A119" s="54"/>
      <c r="D119" s="323" t="s">
        <v>76</v>
      </c>
      <c r="E119" s="324"/>
      <c r="K119" s="53"/>
    </row>
    <row r="120" spans="1:11" s="33" customFormat="1" ht="16.5" customHeight="1" x14ac:dyDescent="0.3">
      <c r="A120" s="54"/>
      <c r="B120" s="148" t="s">
        <v>77</v>
      </c>
      <c r="C120" s="76">
        <f>$D$111/$D$116</f>
        <v>3.624068632376237</v>
      </c>
      <c r="D120" s="110" t="s">
        <v>78</v>
      </c>
      <c r="E120" s="84">
        <v>0.21</v>
      </c>
      <c r="F120" s="86" t="s">
        <v>79</v>
      </c>
      <c r="G120" s="85">
        <v>6.0000000000000002E-6</v>
      </c>
      <c r="H120" s="213" t="s">
        <v>80</v>
      </c>
      <c r="I120" s="325" t="s">
        <v>81</v>
      </c>
      <c r="J120" s="325"/>
      <c r="K120" s="325"/>
    </row>
    <row r="121" spans="1:11" s="33" customFormat="1" ht="15" customHeight="1" x14ac:dyDescent="0.3">
      <c r="A121" s="54"/>
      <c r="B121" s="148" t="s">
        <v>82</v>
      </c>
      <c r="C121" s="76">
        <f>$D$36/$D$116</f>
        <v>3.4247448575955439</v>
      </c>
      <c r="D121" s="110" t="s">
        <v>83</v>
      </c>
      <c r="E121" s="213">
        <v>0.21</v>
      </c>
      <c r="F121" s="86" t="s">
        <v>84</v>
      </c>
      <c r="G121" s="87">
        <v>9</v>
      </c>
      <c r="H121" s="213" t="s">
        <v>85</v>
      </c>
      <c r="I121" s="325" t="s">
        <v>86</v>
      </c>
      <c r="J121" s="325"/>
      <c r="K121" s="325"/>
    </row>
    <row r="122" spans="1:11" s="33" customFormat="1" ht="11.25" customHeight="1" x14ac:dyDescent="0.2">
      <c r="A122" s="54"/>
      <c r="K122" s="53"/>
    </row>
    <row r="123" spans="1:11" s="33" customFormat="1" ht="18" customHeight="1" x14ac:dyDescent="0.25">
      <c r="A123" s="88"/>
      <c r="B123" s="89"/>
      <c r="C123" s="90"/>
      <c r="D123" s="91" t="s">
        <v>87</v>
      </c>
      <c r="E123" s="92">
        <f>((($D$112*$G$120*$G$121)/(2*(1-$D$114^2)))*($E$120+($D$114*$E$121)))*$E$36</f>
        <v>192.98946697545162</v>
      </c>
      <c r="F123" s="129" t="s">
        <v>88</v>
      </c>
      <c r="K123" s="53"/>
    </row>
    <row r="124" spans="1:11" s="33" customFormat="1" ht="11.25" customHeight="1" x14ac:dyDescent="0.2">
      <c r="A124" s="93"/>
      <c r="B124" s="49"/>
      <c r="D124" s="94"/>
      <c r="E124" s="95"/>
      <c r="F124" s="66"/>
      <c r="K124" s="53"/>
    </row>
    <row r="125" spans="1:11" s="33" customFormat="1" ht="18" customHeight="1" x14ac:dyDescent="0.25">
      <c r="A125" s="88"/>
      <c r="B125" s="89"/>
      <c r="C125" s="90"/>
      <c r="D125" s="91" t="s">
        <v>89</v>
      </c>
      <c r="E125" s="92">
        <f>((($D$112*$G$120*$G$121)/(2*(1-$D$114^2)))*($E$121+($D$114*$E$120)))*$E$36</f>
        <v>192.98946697545162</v>
      </c>
      <c r="F125" s="129" t="s">
        <v>88</v>
      </c>
      <c r="K125" s="53"/>
    </row>
    <row r="126" spans="1:11" s="33" customFormat="1" ht="11.25" customHeight="1" x14ac:dyDescent="0.2">
      <c r="A126" s="93"/>
      <c r="B126" s="49"/>
      <c r="D126" s="94"/>
      <c r="E126" s="95"/>
      <c r="F126" s="66"/>
      <c r="K126" s="53"/>
    </row>
    <row r="127" spans="1:11" s="33" customFormat="1" ht="18" customHeight="1" x14ac:dyDescent="0.2">
      <c r="A127" s="88"/>
      <c r="B127" s="89"/>
      <c r="D127" s="91" t="s">
        <v>90</v>
      </c>
      <c r="E127" s="92">
        <f>($E$120*$D$112*$G$120*$G$121/2)*$E$36</f>
        <v>164.0410469291339</v>
      </c>
      <c r="F127" s="129" t="s">
        <v>88</v>
      </c>
      <c r="K127" s="53"/>
    </row>
    <row r="128" spans="1:11" s="33" customFormat="1" ht="11.25" customHeight="1" x14ac:dyDescent="0.2">
      <c r="A128" s="54"/>
      <c r="D128" s="49"/>
      <c r="E128" s="96"/>
      <c r="F128" s="66"/>
      <c r="K128" s="53"/>
    </row>
    <row r="129" spans="1:11" s="33" customFormat="1" ht="18" customHeight="1" x14ac:dyDescent="0.2">
      <c r="A129" s="54"/>
      <c r="D129" s="91" t="s">
        <v>90</v>
      </c>
      <c r="E129" s="92">
        <f>($E$121*$D$112*$G$120*$G$121/2)*$E$36</f>
        <v>164.0410469291339</v>
      </c>
      <c r="F129" s="129" t="s">
        <v>88</v>
      </c>
      <c r="K129" s="53"/>
    </row>
    <row r="130" spans="1:11" s="33" customFormat="1" ht="11.25" customHeight="1" x14ac:dyDescent="0.2">
      <c r="A130" s="54"/>
      <c r="K130" s="53"/>
    </row>
    <row r="131" spans="1:11" s="33" customFormat="1" ht="11.25" customHeight="1" x14ac:dyDescent="0.2">
      <c r="A131" s="54"/>
      <c r="K131" s="53"/>
    </row>
    <row r="132" spans="1:11" ht="11.25" customHeight="1" x14ac:dyDescent="0.25">
      <c r="A132" s="52" t="s">
        <v>91</v>
      </c>
      <c r="K132" s="1"/>
    </row>
    <row r="133" spans="1:11" ht="11.25" customHeight="1" x14ac:dyDescent="0.25">
      <c r="A133" s="52"/>
      <c r="K133" s="1"/>
    </row>
    <row r="134" spans="1:11" ht="11.25" customHeight="1" x14ac:dyDescent="0.25">
      <c r="A134" s="52"/>
      <c r="K134" s="1"/>
    </row>
    <row r="135" spans="1:11" ht="21.75" x14ac:dyDescent="0.25">
      <c r="A135" s="100"/>
      <c r="B135" s="347" t="s">
        <v>92</v>
      </c>
      <c r="C135" s="347"/>
      <c r="D135" s="347"/>
      <c r="E135" s="347"/>
      <c r="F135" s="55" t="s">
        <v>93</v>
      </c>
      <c r="K135" s="1"/>
    </row>
    <row r="136" spans="1:11" s="3" customFormat="1" ht="11.25" customHeight="1" x14ac:dyDescent="0.2">
      <c r="A136" s="29"/>
      <c r="E136" s="4"/>
      <c r="K136" s="6"/>
    </row>
    <row r="137" spans="1:11" s="3" customFormat="1" ht="21.75" x14ac:dyDescent="0.2">
      <c r="A137" s="82"/>
      <c r="B137" s="347" t="s">
        <v>94</v>
      </c>
      <c r="C137" s="347"/>
      <c r="D137" s="347"/>
      <c r="E137" s="347"/>
      <c r="F137" s="55" t="s">
        <v>95</v>
      </c>
      <c r="K137" s="6"/>
    </row>
    <row r="138" spans="1:11" s="3" customFormat="1" ht="11.25" customHeight="1" x14ac:dyDescent="0.2">
      <c r="A138" s="29"/>
      <c r="K138" s="6"/>
    </row>
    <row r="139" spans="1:11" s="3" customFormat="1" ht="15" customHeight="1" x14ac:dyDescent="0.2">
      <c r="A139" s="189"/>
      <c r="B139" s="218"/>
      <c r="C139" s="121" t="s">
        <v>96</v>
      </c>
      <c r="D139" s="342" t="s">
        <v>97</v>
      </c>
      <c r="E139" s="343"/>
      <c r="F139" s="343"/>
      <c r="G139" s="343"/>
      <c r="H139" s="343"/>
      <c r="I139" s="190">
        <f>2.38*($D$148*$D$116)^0.5</f>
        <v>49.770656422121526</v>
      </c>
      <c r="J139" s="159" t="s">
        <v>68</v>
      </c>
      <c r="K139" s="115"/>
    </row>
    <row r="140" spans="1:11" s="3" customFormat="1" ht="35.25" customHeight="1" x14ac:dyDescent="0.2">
      <c r="A140" s="191"/>
      <c r="B140" s="50"/>
      <c r="C140" s="213" t="s">
        <v>98</v>
      </c>
      <c r="D140" s="76">
        <f>K140*2.205</f>
        <v>24255</v>
      </c>
      <c r="E140" s="356" t="s">
        <v>158</v>
      </c>
      <c r="F140" s="357"/>
      <c r="G140" s="357"/>
      <c r="H140" s="357"/>
      <c r="I140" s="358"/>
      <c r="J140" s="101" t="s">
        <v>99</v>
      </c>
      <c r="K140" s="213">
        <f>22*1000/2</f>
        <v>11000</v>
      </c>
    </row>
    <row r="141" spans="1:11" s="3" customFormat="1" ht="11.25" customHeight="1" x14ac:dyDescent="0.2">
      <c r="A141" s="29"/>
      <c r="K141" s="6"/>
    </row>
    <row r="142" spans="1:11" s="3" customFormat="1" ht="11.25" customHeight="1" x14ac:dyDescent="0.2">
      <c r="A142" s="29"/>
      <c r="B142" s="49"/>
      <c r="C142" s="102" t="s">
        <v>100</v>
      </c>
      <c r="D142" s="213">
        <v>80</v>
      </c>
      <c r="E142" s="4" t="s">
        <v>101</v>
      </c>
      <c r="K142" s="6"/>
    </row>
    <row r="143" spans="1:11" s="3" customFormat="1" ht="11.25" customHeight="1" x14ac:dyDescent="0.2">
      <c r="A143" s="29"/>
      <c r="K143" s="6"/>
    </row>
    <row r="144" spans="1:11" s="3" customFormat="1" ht="11.25" customHeight="1" x14ac:dyDescent="0.2">
      <c r="A144" s="29"/>
      <c r="C144" s="221" t="s">
        <v>102</v>
      </c>
      <c r="D144" s="84">
        <v>12.76</v>
      </c>
      <c r="E144" s="4" t="s">
        <v>103</v>
      </c>
      <c r="K144" s="6"/>
    </row>
    <row r="145" spans="1:12" s="3" customFormat="1" ht="11.25" customHeight="1" x14ac:dyDescent="0.2">
      <c r="A145" s="29"/>
      <c r="C145" s="104"/>
      <c r="D145" s="75"/>
      <c r="E145" s="4"/>
      <c r="K145" s="6"/>
    </row>
    <row r="146" spans="1:12" s="3" customFormat="1" ht="11.25" customHeight="1" x14ac:dyDescent="0.2">
      <c r="A146" s="29"/>
      <c r="C146" s="359" t="s">
        <v>104</v>
      </c>
      <c r="D146" s="359"/>
      <c r="E146" s="359"/>
      <c r="F146" s="359"/>
      <c r="G146" s="4" t="s">
        <v>105</v>
      </c>
      <c r="K146" s="6"/>
    </row>
    <row r="147" spans="1:12" s="3" customFormat="1" ht="11.25" customHeight="1" x14ac:dyDescent="0.2">
      <c r="A147" s="29"/>
      <c r="K147" s="6"/>
    </row>
    <row r="148" spans="1:12" s="3" customFormat="1" ht="11.25" customHeight="1" x14ac:dyDescent="0.2">
      <c r="A148" s="93"/>
      <c r="B148" s="44"/>
      <c r="C148" s="213" t="s">
        <v>1</v>
      </c>
      <c r="D148" s="105">
        <f>((0.8521*D140/(D142*3.1416))+(D144/3.1416)*(D140/(0.5227*D142))^0.5)^0.5</f>
        <v>13.418429811636141</v>
      </c>
      <c r="E148" s="69" t="s">
        <v>68</v>
      </c>
      <c r="K148" s="6"/>
      <c r="L148" s="4"/>
    </row>
    <row r="149" spans="1:12" s="3" customFormat="1" ht="11.25" customHeight="1" x14ac:dyDescent="0.2">
      <c r="A149" s="29"/>
      <c r="E149" s="66"/>
      <c r="K149" s="6"/>
    </row>
    <row r="150" spans="1:12" ht="18" customHeight="1" x14ac:dyDescent="0.25">
      <c r="A150" s="88"/>
      <c r="B150" s="89"/>
      <c r="C150" s="91" t="s">
        <v>106</v>
      </c>
      <c r="D150" s="106">
        <f>(3*$D$140/$E$36^2)*(1-($D$148*(2^0.5)/$D$116)^0.6)</f>
        <v>325.21758328551306</v>
      </c>
      <c r="E150" s="129" t="s">
        <v>88</v>
      </c>
      <c r="G150" s="107"/>
      <c r="H150" s="107"/>
      <c r="I150" s="107"/>
      <c r="K150" s="1"/>
    </row>
    <row r="151" spans="1:12" s="3" customFormat="1" ht="11.25" customHeight="1" x14ac:dyDescent="0.2">
      <c r="A151" s="54"/>
      <c r="B151" s="33"/>
      <c r="C151" s="33"/>
      <c r="D151" s="33"/>
      <c r="E151" s="63"/>
      <c r="K151" s="6"/>
    </row>
    <row r="152" spans="1:12" s="3" customFormat="1" ht="18" customHeight="1" x14ac:dyDescent="0.2">
      <c r="A152" s="93"/>
      <c r="B152" s="49"/>
      <c r="C152" s="91" t="s">
        <v>107</v>
      </c>
      <c r="D152" s="108">
        <f>($D$140/($D$115*$D$116^2))*(1.1-(0.88*($D$148*(2^0.5)/$D$116)))</f>
        <v>9.8992447025415709E-2</v>
      </c>
      <c r="E152" s="69" t="s">
        <v>68</v>
      </c>
      <c r="K152" s="6"/>
    </row>
    <row r="153" spans="1:12" s="3" customFormat="1" ht="11.25" customHeight="1" x14ac:dyDescent="0.2">
      <c r="A153" s="29"/>
      <c r="K153" s="6"/>
    </row>
    <row r="154" spans="1:12" s="3" customFormat="1" ht="11.25" customHeight="1" x14ac:dyDescent="0.2">
      <c r="A154" s="29"/>
      <c r="K154" s="6"/>
    </row>
    <row r="155" spans="1:12" ht="11.25" customHeight="1" x14ac:dyDescent="0.25">
      <c r="A155" s="52" t="s">
        <v>108</v>
      </c>
      <c r="K155" s="1"/>
    </row>
    <row r="156" spans="1:12" ht="11.25" customHeight="1" x14ac:dyDescent="0.25">
      <c r="A156" s="52"/>
      <c r="K156" s="1"/>
    </row>
    <row r="157" spans="1:12" ht="11.25" customHeight="1" x14ac:dyDescent="0.25">
      <c r="A157" s="70"/>
      <c r="K157" s="1"/>
    </row>
    <row r="158" spans="1:12" s="3" customFormat="1" ht="18" customHeight="1" x14ac:dyDescent="0.25">
      <c r="A158" s="100"/>
      <c r="B158" s="109"/>
      <c r="C158" s="348" t="s">
        <v>109</v>
      </c>
      <c r="D158" s="349"/>
      <c r="E158" s="349"/>
      <c r="F158" s="350"/>
      <c r="G158" s="47" t="s">
        <v>110</v>
      </c>
      <c r="K158" s="6"/>
    </row>
    <row r="159" spans="1:12" s="3" customFormat="1" ht="11.25" customHeight="1" x14ac:dyDescent="0.2">
      <c r="A159" s="29"/>
      <c r="K159" s="6"/>
    </row>
    <row r="160" spans="1:12" s="3" customFormat="1" ht="21.75" x14ac:dyDescent="0.35">
      <c r="A160" s="82"/>
      <c r="B160" s="107"/>
      <c r="C160" s="351" t="s">
        <v>111</v>
      </c>
      <c r="D160" s="352"/>
      <c r="E160" s="352"/>
      <c r="F160" s="353"/>
      <c r="G160" s="55" t="s">
        <v>112</v>
      </c>
      <c r="K160" s="6"/>
    </row>
    <row r="161" spans="1:11" s="3" customFormat="1" ht="11.25" customHeight="1" x14ac:dyDescent="0.2">
      <c r="A161" s="29"/>
      <c r="K161" s="6"/>
    </row>
    <row r="162" spans="1:11" s="3" customFormat="1" ht="11.25" customHeight="1" x14ac:dyDescent="0.2">
      <c r="A162" s="93"/>
      <c r="B162" s="49"/>
      <c r="C162" s="122" t="s">
        <v>113</v>
      </c>
      <c r="D162" s="122" t="s">
        <v>114</v>
      </c>
      <c r="E162" s="34">
        <f>0.724*$D$113</f>
        <v>5.7007874015748037</v>
      </c>
      <c r="F162" s="69" t="s">
        <v>68</v>
      </c>
      <c r="G162" s="110" t="s">
        <v>115</v>
      </c>
      <c r="H162" s="111" t="s">
        <v>116</v>
      </c>
      <c r="K162" s="6"/>
    </row>
    <row r="163" spans="1:11" s="3" customFormat="1" ht="15" customHeight="1" x14ac:dyDescent="0.2">
      <c r="A163" s="82"/>
      <c r="B163" s="354" t="s">
        <v>117</v>
      </c>
      <c r="C163" s="354"/>
      <c r="D163" s="354"/>
      <c r="E163" s="34">
        <f>(((1.6*$D$148^2)+($D$113^2))^0.5)-(0.675*$D$113)</f>
        <v>13.395649669476695</v>
      </c>
      <c r="F163" s="69" t="s">
        <v>68</v>
      </c>
      <c r="K163" s="6"/>
    </row>
    <row r="164" spans="1:11" s="3" customFormat="1" ht="11.25" customHeight="1" x14ac:dyDescent="0.2">
      <c r="A164" s="29"/>
      <c r="K164" s="6"/>
    </row>
    <row r="165" spans="1:11" s="3" customFormat="1" ht="18" customHeight="1" x14ac:dyDescent="0.35">
      <c r="A165" s="29"/>
      <c r="C165" s="147" t="s">
        <v>118</v>
      </c>
      <c r="D165" s="106">
        <f>(0.316*$D$140/$E$36^2)*(4*LOG($D$116/$E$163)+1.069)</f>
        <v>323.08728399819051</v>
      </c>
      <c r="E165" s="93" t="s">
        <v>88</v>
      </c>
      <c r="K165" s="6"/>
    </row>
    <row r="166" spans="1:11" s="3" customFormat="1" ht="11.25" customHeight="1" x14ac:dyDescent="0.2">
      <c r="A166" s="29"/>
      <c r="C166" s="33"/>
      <c r="D166" s="112"/>
      <c r="E166" s="4"/>
      <c r="K166" s="6"/>
    </row>
    <row r="167" spans="1:11" s="3" customFormat="1" ht="18" customHeight="1" x14ac:dyDescent="0.35">
      <c r="A167" s="29"/>
      <c r="C167" s="147" t="s">
        <v>119</v>
      </c>
      <c r="D167" s="146">
        <f>($D$140/(8*$D$115*$D$116^2))*(1+((2/3.1416)*(LN($D$148/(2*$D$116))-0.673))*($D$148/$D$116)^2)</f>
        <v>1.5937128337967087E-2</v>
      </c>
      <c r="E167" s="49" t="s">
        <v>68</v>
      </c>
      <c r="K167" s="6"/>
    </row>
    <row r="168" spans="1:11" s="3" customFormat="1" ht="11.25" customHeight="1" x14ac:dyDescent="0.2">
      <c r="A168" s="29"/>
      <c r="K168" s="6"/>
    </row>
    <row r="169" spans="1:11" s="3" customFormat="1" ht="11.25" customHeight="1" x14ac:dyDescent="0.2">
      <c r="A169" s="29"/>
      <c r="K169" s="6"/>
    </row>
    <row r="170" spans="1:11" s="3" customFormat="1" ht="11.25" customHeight="1" x14ac:dyDescent="0.2">
      <c r="A170" s="52" t="s">
        <v>120</v>
      </c>
      <c r="K170" s="6"/>
    </row>
    <row r="171" spans="1:11" s="3" customFormat="1" ht="11.25" customHeight="1" x14ac:dyDescent="0.2">
      <c r="A171" s="52"/>
      <c r="K171" s="6"/>
    </row>
    <row r="172" spans="1:11" s="3" customFormat="1" ht="11.25" customHeight="1" x14ac:dyDescent="0.2">
      <c r="A172" s="52"/>
      <c r="K172" s="6"/>
    </row>
    <row r="173" spans="1:11" s="3" customFormat="1" ht="18" customHeight="1" x14ac:dyDescent="0.35">
      <c r="A173" s="29"/>
      <c r="C173" s="340" t="s">
        <v>121</v>
      </c>
      <c r="D173" s="355"/>
      <c r="E173" s="355"/>
      <c r="F173" s="341"/>
      <c r="G173" s="47" t="s">
        <v>122</v>
      </c>
      <c r="K173" s="6"/>
    </row>
    <row r="174" spans="1:11" s="3" customFormat="1" ht="11.25" customHeight="1" x14ac:dyDescent="0.2">
      <c r="A174" s="29"/>
      <c r="K174" s="6"/>
    </row>
    <row r="175" spans="1:11" s="3" customFormat="1" ht="18" customHeight="1" x14ac:dyDescent="0.35">
      <c r="A175" s="29"/>
      <c r="C175" s="337" t="s">
        <v>123</v>
      </c>
      <c r="D175" s="338"/>
      <c r="E175" s="338"/>
      <c r="F175" s="339"/>
      <c r="G175" s="55" t="s">
        <v>112</v>
      </c>
      <c r="K175" s="6"/>
    </row>
    <row r="176" spans="1:11" s="3" customFormat="1" ht="11.25" customHeight="1" x14ac:dyDescent="0.2">
      <c r="A176" s="29"/>
      <c r="K176" s="6"/>
    </row>
    <row r="177" spans="1:11" s="3" customFormat="1" ht="18" customHeight="1" x14ac:dyDescent="0.35">
      <c r="A177" s="29"/>
      <c r="C177" s="147" t="s">
        <v>124</v>
      </c>
      <c r="D177" s="106">
        <f>(0.572*$D$140/$E$36^2)*(4*LOG($D$116/$E$163)-0.359)</f>
        <v>265.28319638296165</v>
      </c>
      <c r="E177" s="93" t="s">
        <v>88</v>
      </c>
      <c r="K177" s="6"/>
    </row>
    <row r="178" spans="1:11" s="3" customFormat="1" ht="11.25" customHeight="1" x14ac:dyDescent="0.2">
      <c r="A178" s="29"/>
      <c r="C178" s="33"/>
      <c r="D178" s="96"/>
      <c r="E178" s="4"/>
      <c r="K178" s="6"/>
    </row>
    <row r="179" spans="1:11" s="3" customFormat="1" ht="18" customHeight="1" x14ac:dyDescent="0.35">
      <c r="A179" s="29"/>
      <c r="C179" s="147" t="s">
        <v>125</v>
      </c>
      <c r="D179" s="108">
        <f>(0.431*$D$140/($D$115*$D$116^2))*(1-(0.82*($D$148/($D$116))))</f>
        <v>4.8095660677558855E-2</v>
      </c>
      <c r="E179" s="49" t="s">
        <v>68</v>
      </c>
      <c r="K179" s="6"/>
    </row>
    <row r="180" spans="1:11" s="3" customFormat="1" ht="11.25" customHeight="1" x14ac:dyDescent="0.2">
      <c r="A180" s="29"/>
      <c r="D180" s="116"/>
      <c r="K180" s="6"/>
    </row>
    <row r="181" spans="1:11" s="3" customFormat="1" ht="11.25" customHeight="1" x14ac:dyDescent="0.2">
      <c r="A181" s="113"/>
      <c r="B181" s="114"/>
      <c r="C181" s="114"/>
      <c r="D181" s="192"/>
      <c r="E181" s="114"/>
      <c r="F181" s="114"/>
      <c r="G181" s="114"/>
      <c r="H181" s="114"/>
      <c r="I181" s="114"/>
      <c r="J181" s="114"/>
      <c r="K181" s="115"/>
    </row>
    <row r="182" spans="1:11" s="3" customFormat="1" ht="11.25" customHeight="1" x14ac:dyDescent="0.2">
      <c r="A182" s="155" t="s">
        <v>126</v>
      </c>
      <c r="B182" s="156"/>
      <c r="C182" s="156"/>
      <c r="D182" s="156"/>
      <c r="E182" s="156"/>
      <c r="F182" s="156"/>
      <c r="G182" s="156"/>
      <c r="H182" s="156"/>
      <c r="I182" s="156"/>
      <c r="J182" s="156"/>
      <c r="K182" s="160"/>
    </row>
    <row r="183" spans="1:11" s="3" customFormat="1" ht="11.25" customHeight="1" x14ac:dyDescent="0.2">
      <c r="A183" s="28"/>
      <c r="K183" s="6"/>
    </row>
    <row r="184" spans="1:11" s="3" customFormat="1" ht="11.25" customHeight="1" x14ac:dyDescent="0.2">
      <c r="A184" s="28"/>
      <c r="K184" s="6"/>
    </row>
    <row r="185" spans="1:11" s="3" customFormat="1" ht="21" customHeight="1" x14ac:dyDescent="0.35">
      <c r="A185" s="100"/>
      <c r="B185" s="109"/>
      <c r="C185" s="109"/>
      <c r="D185" s="340" t="s">
        <v>127</v>
      </c>
      <c r="E185" s="341"/>
      <c r="F185" s="51" t="s">
        <v>128</v>
      </c>
      <c r="I185" s="340" t="s">
        <v>129</v>
      </c>
      <c r="J185" s="341"/>
      <c r="K185" s="185" t="s">
        <v>130</v>
      </c>
    </row>
    <row r="186" spans="1:11" s="3" customFormat="1" ht="11.25" customHeight="1" x14ac:dyDescent="0.2">
      <c r="A186" s="100"/>
      <c r="B186" s="109"/>
      <c r="C186" s="109"/>
      <c r="K186" s="6"/>
    </row>
    <row r="187" spans="1:11" s="3" customFormat="1" ht="18" customHeight="1" x14ac:dyDescent="0.35">
      <c r="A187" s="100"/>
      <c r="B187" s="109"/>
      <c r="C187" s="109"/>
      <c r="D187" s="220" t="s">
        <v>131</v>
      </c>
      <c r="E187" s="84">
        <f>2400*0.0361273/1000</f>
        <v>8.6705520000000008E-2</v>
      </c>
      <c r="F187" s="47" t="s">
        <v>132</v>
      </c>
      <c r="I187" s="215" t="s">
        <v>133</v>
      </c>
      <c r="J187" s="170">
        <f>(E187*D113*E188*E189)/(2*E52)</f>
        <v>8.3996140492281017E-5</v>
      </c>
      <c r="K187" s="6" t="s">
        <v>134</v>
      </c>
    </row>
    <row r="188" spans="1:11" s="3" customFormat="1" ht="11.25" customHeight="1" x14ac:dyDescent="0.2">
      <c r="A188" s="100"/>
      <c r="B188" s="109"/>
      <c r="C188" s="109"/>
      <c r="D188" s="213" t="s">
        <v>135</v>
      </c>
      <c r="E188" s="84">
        <f>C36/12</f>
        <v>9.8425196850393704</v>
      </c>
      <c r="F188" s="4" t="s">
        <v>136</v>
      </c>
      <c r="K188" s="6"/>
    </row>
    <row r="189" spans="1:11" s="3" customFormat="1" ht="15" customHeight="1" x14ac:dyDescent="0.3">
      <c r="A189" s="100"/>
      <c r="B189" s="109"/>
      <c r="C189" s="109"/>
      <c r="D189" s="180" t="s">
        <v>137</v>
      </c>
      <c r="E189" s="122">
        <v>1.5</v>
      </c>
      <c r="F189" s="47" t="s">
        <v>138</v>
      </c>
      <c r="K189" s="6"/>
    </row>
    <row r="190" spans="1:11" s="3" customFormat="1" ht="18" customHeight="1" x14ac:dyDescent="0.35">
      <c r="A190" s="100"/>
      <c r="B190" s="109"/>
      <c r="C190" s="109"/>
      <c r="D190" s="147" t="s">
        <v>139</v>
      </c>
      <c r="E190" s="92">
        <f>$E$187*$E$188*$E$189/2</f>
        <v>0.64005059055118119</v>
      </c>
      <c r="F190" s="69" t="s">
        <v>88</v>
      </c>
      <c r="K190" s="6"/>
    </row>
    <row r="191" spans="1:11" s="3" customFormat="1" ht="11.25" customHeight="1" x14ac:dyDescent="0.25">
      <c r="A191" s="100"/>
      <c r="B191" s="109"/>
      <c r="C191" s="109"/>
      <c r="D191" s="181"/>
      <c r="E191" s="182"/>
      <c r="F191" s="69"/>
      <c r="K191" s="6"/>
    </row>
    <row r="192" spans="1:11" s="3" customFormat="1" ht="11.25" customHeight="1" x14ac:dyDescent="0.25">
      <c r="A192" s="100"/>
      <c r="B192" s="109"/>
      <c r="C192" s="109"/>
      <c r="D192" s="181"/>
      <c r="E192" s="182"/>
      <c r="F192" s="69"/>
      <c r="K192" s="6"/>
    </row>
    <row r="193" spans="1:11" s="3" customFormat="1" ht="11.25" customHeight="1" x14ac:dyDescent="0.2">
      <c r="A193" s="28" t="s">
        <v>140</v>
      </c>
      <c r="K193" s="6"/>
    </row>
    <row r="194" spans="1:11" s="3" customFormat="1" ht="11.25" customHeight="1" x14ac:dyDescent="0.2">
      <c r="A194" s="28"/>
      <c r="K194" s="6"/>
    </row>
    <row r="195" spans="1:11" s="3" customFormat="1" ht="11.25" customHeight="1" x14ac:dyDescent="0.2">
      <c r="A195" s="29"/>
      <c r="K195" s="6"/>
    </row>
    <row r="196" spans="1:11" s="3" customFormat="1" ht="56.25" customHeight="1" x14ac:dyDescent="0.2">
      <c r="A196" s="29"/>
      <c r="B196" s="344" t="s">
        <v>141</v>
      </c>
      <c r="C196" s="344"/>
      <c r="D196" s="219" t="s">
        <v>142</v>
      </c>
      <c r="E196" s="219" t="s">
        <v>143</v>
      </c>
      <c r="F196" s="219" t="s">
        <v>144</v>
      </c>
      <c r="G196" s="167"/>
      <c r="K196" s="6"/>
    </row>
    <row r="197" spans="1:11" s="3" customFormat="1" ht="13.5" customHeight="1" x14ac:dyDescent="0.2">
      <c r="A197" s="29"/>
      <c r="B197" s="354" t="s">
        <v>145</v>
      </c>
      <c r="C197" s="354"/>
      <c r="D197" s="149">
        <f>$E$123</f>
        <v>192.98946697545162</v>
      </c>
      <c r="E197" s="334">
        <v>595</v>
      </c>
      <c r="F197" s="149">
        <f>($D$197/$E$197)*100</f>
        <v>32.435204533689351</v>
      </c>
      <c r="G197" s="5"/>
      <c r="K197" s="6"/>
    </row>
    <row r="198" spans="1:11" s="3" customFormat="1" ht="13.5" customHeight="1" x14ac:dyDescent="0.2">
      <c r="A198" s="29"/>
      <c r="B198" s="354" t="s">
        <v>146</v>
      </c>
      <c r="C198" s="354"/>
      <c r="D198" s="149">
        <f>$E$125</f>
        <v>192.98946697545162</v>
      </c>
      <c r="E198" s="360"/>
      <c r="F198" s="149">
        <f>($D$198/$E$197)*100</f>
        <v>32.435204533689351</v>
      </c>
      <c r="G198" s="5"/>
      <c r="K198" s="6"/>
    </row>
    <row r="199" spans="1:11" s="3" customFormat="1" ht="13.5" customHeight="1" x14ac:dyDescent="0.2">
      <c r="A199" s="29"/>
      <c r="B199" s="354" t="s">
        <v>147</v>
      </c>
      <c r="C199" s="354"/>
      <c r="D199" s="149">
        <f>$E$127</f>
        <v>164.0410469291339</v>
      </c>
      <c r="E199" s="360"/>
      <c r="F199" s="149">
        <f>($D$199/$E$197)*100</f>
        <v>27.569923853635949</v>
      </c>
      <c r="G199" s="5"/>
      <c r="K199" s="6"/>
    </row>
    <row r="200" spans="1:11" s="3" customFormat="1" ht="13.5" customHeight="1" x14ac:dyDescent="0.2">
      <c r="A200" s="29"/>
      <c r="B200" s="354" t="s">
        <v>148</v>
      </c>
      <c r="C200" s="354"/>
      <c r="D200" s="149">
        <f>$E$129</f>
        <v>164.0410469291339</v>
      </c>
      <c r="E200" s="361"/>
      <c r="F200" s="149">
        <f>($D$200/$E$197)*100</f>
        <v>27.569923853635949</v>
      </c>
      <c r="G200" s="5"/>
      <c r="K200" s="6"/>
    </row>
    <row r="201" spans="1:11" s="3" customFormat="1" ht="11.25" customHeight="1" x14ac:dyDescent="0.2">
      <c r="A201" s="29"/>
      <c r="K201" s="6"/>
    </row>
    <row r="202" spans="1:11" s="3" customFormat="1" ht="49.5" customHeight="1" x14ac:dyDescent="0.2">
      <c r="A202" s="29"/>
      <c r="B202" s="107"/>
      <c r="C202" s="219" t="s">
        <v>141</v>
      </c>
      <c r="D202" s="219" t="s">
        <v>149</v>
      </c>
      <c r="E202" s="219" t="s">
        <v>143</v>
      </c>
      <c r="F202" s="219" t="s">
        <v>144</v>
      </c>
      <c r="G202" s="167"/>
      <c r="H202" s="117"/>
      <c r="K202" s="6"/>
    </row>
    <row r="203" spans="1:11" s="3" customFormat="1" ht="11.25" customHeight="1" x14ac:dyDescent="0.2">
      <c r="A203" s="29"/>
      <c r="C203" s="150" t="s">
        <v>150</v>
      </c>
      <c r="D203" s="149">
        <f>$D$150</f>
        <v>325.21758328551306</v>
      </c>
      <c r="E203" s="334">
        <v>595</v>
      </c>
      <c r="F203" s="149">
        <f>($D$203/$E$203)*100</f>
        <v>54.658417358909759</v>
      </c>
      <c r="G203" s="168"/>
      <c r="K203" s="6"/>
    </row>
    <row r="204" spans="1:11" s="3" customFormat="1" ht="11.25" customHeight="1" x14ac:dyDescent="0.2">
      <c r="A204" s="29"/>
      <c r="C204" s="150" t="s">
        <v>151</v>
      </c>
      <c r="D204" s="149">
        <f>$D$165</f>
        <v>323.08728399819051</v>
      </c>
      <c r="E204" s="335"/>
      <c r="F204" s="149">
        <f>($D$204/$E$203)*100</f>
        <v>54.300383865242111</v>
      </c>
      <c r="G204" s="168"/>
      <c r="K204" s="6"/>
    </row>
    <row r="205" spans="1:11" s="3" customFormat="1" ht="11.25" customHeight="1" x14ac:dyDescent="0.2">
      <c r="A205" s="29"/>
      <c r="C205" s="150" t="s">
        <v>152</v>
      </c>
      <c r="D205" s="149">
        <f>$D$177</f>
        <v>265.28319638296165</v>
      </c>
      <c r="E205" s="336"/>
      <c r="F205" s="149">
        <f>($D$205/$E$203)*100</f>
        <v>44.585411156800276</v>
      </c>
      <c r="G205" s="168"/>
      <c r="K205" s="6"/>
    </row>
    <row r="206" spans="1:11" s="3" customFormat="1" ht="11.25" customHeight="1" x14ac:dyDescent="0.2">
      <c r="A206" s="29"/>
      <c r="K206" s="6"/>
    </row>
    <row r="207" spans="1:11" s="3" customFormat="1" ht="11.25" customHeight="1" x14ac:dyDescent="0.2">
      <c r="A207" s="29"/>
      <c r="K207" s="6"/>
    </row>
    <row r="208" spans="1:11" s="3" customFormat="1" ht="11.25" customHeight="1" x14ac:dyDescent="0.2">
      <c r="A208" s="28" t="s">
        <v>153</v>
      </c>
      <c r="K208" s="6"/>
    </row>
    <row r="209" spans="1:11" s="3" customFormat="1" ht="11.25" customHeight="1" x14ac:dyDescent="0.2">
      <c r="A209" s="28"/>
      <c r="K209" s="6"/>
    </row>
    <row r="210" spans="1:11" s="3" customFormat="1" ht="11.25" customHeight="1" x14ac:dyDescent="0.2">
      <c r="A210" s="29"/>
      <c r="K210" s="6"/>
    </row>
    <row r="211" spans="1:11" s="3" customFormat="1" ht="23.25" customHeight="1" x14ac:dyDescent="0.2">
      <c r="A211" s="29"/>
      <c r="B211" s="107"/>
      <c r="C211" s="152" t="s">
        <v>141</v>
      </c>
      <c r="D211" s="152" t="s">
        <v>154</v>
      </c>
      <c r="E211" s="152" t="s">
        <v>155</v>
      </c>
      <c r="F211" s="169"/>
      <c r="G211" s="118"/>
      <c r="H211" s="117"/>
      <c r="K211" s="6"/>
    </row>
    <row r="212" spans="1:11" s="3" customFormat="1" ht="11.25" customHeight="1" x14ac:dyDescent="0.2">
      <c r="A212" s="29"/>
      <c r="C212" s="210" t="s">
        <v>150</v>
      </c>
      <c r="D212" s="119">
        <f>$D$152</f>
        <v>9.8992447025415709E-2</v>
      </c>
      <c r="E212" s="120">
        <f>$D$212*25.4</f>
        <v>2.514408154445559</v>
      </c>
      <c r="F212" s="117"/>
      <c r="K212" s="6"/>
    </row>
    <row r="213" spans="1:11" s="3" customFormat="1" ht="11.25" customHeight="1" x14ac:dyDescent="0.2">
      <c r="A213" s="29"/>
      <c r="C213" s="210" t="s">
        <v>151</v>
      </c>
      <c r="D213" s="119">
        <f>$D$167</f>
        <v>1.5937128337967087E-2</v>
      </c>
      <c r="E213" s="120">
        <f>$D$213*25.4</f>
        <v>0.40480305978436398</v>
      </c>
      <c r="F213" s="117"/>
      <c r="K213" s="6"/>
    </row>
    <row r="214" spans="1:11" s="3" customFormat="1" ht="11.25" customHeight="1" x14ac:dyDescent="0.2">
      <c r="A214" s="29"/>
      <c r="C214" s="210" t="s">
        <v>152</v>
      </c>
      <c r="D214" s="119">
        <f>$D$179</f>
        <v>4.8095660677558855E-2</v>
      </c>
      <c r="E214" s="120">
        <f>$D$214*25.4</f>
        <v>1.2216297812099948</v>
      </c>
      <c r="F214" s="117"/>
      <c r="K214" s="6"/>
    </row>
    <row r="215" spans="1:11" s="3" customFormat="1" ht="11.25" customHeight="1" x14ac:dyDescent="0.2">
      <c r="A215" s="29"/>
      <c r="K215" s="6"/>
    </row>
    <row r="216" spans="1:11" s="3" customFormat="1" ht="11.25" customHeight="1" x14ac:dyDescent="0.2">
      <c r="A216" s="29"/>
      <c r="K216" s="6"/>
    </row>
    <row r="217" spans="1:11" s="3" customFormat="1" ht="11.25" customHeight="1" x14ac:dyDescent="0.2">
      <c r="A217" s="29"/>
      <c r="K217" s="6"/>
    </row>
    <row r="218" spans="1:11" s="3" customFormat="1" ht="11.25" customHeight="1" x14ac:dyDescent="0.2">
      <c r="A218" s="29"/>
      <c r="K218" s="6"/>
    </row>
    <row r="219" spans="1:11" s="3" customFormat="1" ht="11.25" customHeight="1" x14ac:dyDescent="0.2">
      <c r="A219" s="29"/>
      <c r="K219" s="6"/>
    </row>
    <row r="220" spans="1:11" s="3" customFormat="1" ht="11.25" customHeight="1" x14ac:dyDescent="0.2">
      <c r="A220" s="113"/>
      <c r="B220" s="114"/>
      <c r="C220" s="114"/>
      <c r="D220" s="114"/>
      <c r="E220" s="114"/>
      <c r="F220" s="114"/>
      <c r="G220" s="114"/>
      <c r="H220" s="114"/>
      <c r="I220" s="114"/>
      <c r="J220" s="114"/>
      <c r="K220" s="115"/>
    </row>
  </sheetData>
  <mergeCells count="47">
    <mergeCell ref="C21:D21"/>
    <mergeCell ref="I21:K21"/>
    <mergeCell ref="A1:K1"/>
    <mergeCell ref="D9:E9"/>
    <mergeCell ref="D10:E10"/>
    <mergeCell ref="D11:E11"/>
    <mergeCell ref="D12:E12"/>
    <mergeCell ref="D13:E13"/>
    <mergeCell ref="C19:D19"/>
    <mergeCell ref="G19:H19"/>
    <mergeCell ref="J19:J20"/>
    <mergeCell ref="C20:D20"/>
    <mergeCell ref="G20:H20"/>
    <mergeCell ref="A54:B54"/>
    <mergeCell ref="A57:C57"/>
    <mergeCell ref="D57:E57"/>
    <mergeCell ref="A58:C58"/>
    <mergeCell ref="A59:C59"/>
    <mergeCell ref="D59:G59"/>
    <mergeCell ref="J72:K72"/>
    <mergeCell ref="B103:E103"/>
    <mergeCell ref="B105:E105"/>
    <mergeCell ref="B107:D107"/>
    <mergeCell ref="A109:B109"/>
    <mergeCell ref="C109:E109"/>
    <mergeCell ref="C173:F173"/>
    <mergeCell ref="D119:E119"/>
    <mergeCell ref="I120:K120"/>
    <mergeCell ref="I121:K121"/>
    <mergeCell ref="B135:E135"/>
    <mergeCell ref="B137:E137"/>
    <mergeCell ref="D139:H139"/>
    <mergeCell ref="E140:I140"/>
    <mergeCell ref="C146:F146"/>
    <mergeCell ref="C158:F158"/>
    <mergeCell ref="C160:F160"/>
    <mergeCell ref="B163:D163"/>
    <mergeCell ref="E203:E205"/>
    <mergeCell ref="C175:F175"/>
    <mergeCell ref="D185:E185"/>
    <mergeCell ref="I185:J185"/>
    <mergeCell ref="B196:C196"/>
    <mergeCell ref="B197:C197"/>
    <mergeCell ref="E197:E200"/>
    <mergeCell ref="B198:C198"/>
    <mergeCell ref="B199:C199"/>
    <mergeCell ref="B200:C200"/>
  </mergeCells>
  <pageMargins left="0.39370078740157483" right="0.39370078740157483" top="0.39370078740157483" bottom="0.39370078740157483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CAD0A-D10C-49A8-913E-520A22440818}">
  <sheetPr>
    <tabColor rgb="FFFFC000"/>
  </sheetPr>
  <dimension ref="A1:L220"/>
  <sheetViews>
    <sheetView showGridLines="0" topLeftCell="A4" zoomScaleNormal="100" workbookViewId="0">
      <selection activeCell="F11" sqref="F11"/>
    </sheetView>
  </sheetViews>
  <sheetFormatPr baseColWidth="10" defaultColWidth="8.85546875" defaultRowHeight="15" x14ac:dyDescent="0.25"/>
  <cols>
    <col min="1" max="1" width="17.28515625" customWidth="1"/>
    <col min="2" max="3" width="11.42578125" customWidth="1"/>
    <col min="4" max="4" width="13.5703125" customWidth="1"/>
    <col min="5" max="10" width="11.42578125" customWidth="1"/>
    <col min="11" max="11" width="9.7109375" customWidth="1"/>
    <col min="12" max="256" width="11.42578125" customWidth="1"/>
  </cols>
  <sheetData>
    <row r="1" spans="1:11" s="2" customFormat="1" ht="15" customHeight="1" x14ac:dyDescent="0.2">
      <c r="A1" s="306" t="s">
        <v>160</v>
      </c>
      <c r="B1" s="307"/>
      <c r="C1" s="307"/>
      <c r="D1" s="307"/>
      <c r="E1" s="307"/>
      <c r="F1" s="307"/>
      <c r="G1" s="307"/>
      <c r="H1" s="307"/>
      <c r="I1" s="307"/>
      <c r="J1" s="307"/>
      <c r="K1" s="308"/>
    </row>
    <row r="2" spans="1:11" s="2" customFormat="1" ht="11.25" customHeight="1" x14ac:dyDescent="0.2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7"/>
    </row>
    <row r="3" spans="1:11" s="3" customFormat="1" ht="11.25" customHeight="1" x14ac:dyDescent="0.2">
      <c r="A3" s="28" t="s">
        <v>5</v>
      </c>
      <c r="K3" s="6"/>
    </row>
    <row r="4" spans="1:11" s="3" customFormat="1" ht="11.25" customHeight="1" x14ac:dyDescent="0.2">
      <c r="A4" s="28"/>
      <c r="K4" s="6"/>
    </row>
    <row r="5" spans="1:11" s="3" customFormat="1" ht="11.25" customHeight="1" x14ac:dyDescent="0.2">
      <c r="A5" s="28"/>
      <c r="K5" s="6"/>
    </row>
    <row r="6" spans="1:11" s="2" customFormat="1" ht="11.25" customHeight="1" x14ac:dyDescent="0.2">
      <c r="A6" s="9" t="s">
        <v>6</v>
      </c>
      <c r="B6" s="18"/>
      <c r="C6" s="18"/>
      <c r="D6" s="11"/>
      <c r="E6" s="12"/>
      <c r="F6" s="12"/>
      <c r="G6" s="13"/>
      <c r="H6" s="14"/>
      <c r="I6" s="15"/>
      <c r="J6" s="16"/>
      <c r="K6" s="17"/>
    </row>
    <row r="7" spans="1:11" s="2" customFormat="1" ht="11.25" customHeight="1" x14ac:dyDescent="0.2">
      <c r="A7" s="9"/>
      <c r="B7" s="18"/>
      <c r="C7" s="18"/>
      <c r="D7" s="11"/>
      <c r="E7" s="12"/>
      <c r="F7" s="12"/>
      <c r="G7" s="13"/>
      <c r="H7" s="14"/>
      <c r="I7" s="15"/>
      <c r="J7" s="16"/>
      <c r="K7" s="17"/>
    </row>
    <row r="8" spans="1:11" s="2" customFormat="1" ht="11.25" customHeight="1" x14ac:dyDescent="0.2">
      <c r="A8" s="9"/>
      <c r="B8" s="18"/>
      <c r="C8" s="18"/>
      <c r="D8" s="11"/>
      <c r="E8" s="12"/>
      <c r="F8" s="12"/>
      <c r="G8" s="13"/>
      <c r="H8" s="14"/>
      <c r="I8" s="15"/>
      <c r="J8" s="16"/>
      <c r="K8" s="17"/>
    </row>
    <row r="9" spans="1:11" s="2" customFormat="1" ht="22.5" customHeight="1" x14ac:dyDescent="0.2">
      <c r="A9" s="10"/>
      <c r="B9" s="19"/>
      <c r="C9" s="19"/>
      <c r="D9" s="304" t="s">
        <v>4</v>
      </c>
      <c r="E9" s="305"/>
      <c r="F9" s="214" t="s">
        <v>7</v>
      </c>
      <c r="G9" s="214" t="s">
        <v>8</v>
      </c>
      <c r="H9" s="19"/>
      <c r="I9" s="19"/>
      <c r="J9" s="19"/>
      <c r="K9" s="20"/>
    </row>
    <row r="10" spans="1:11" s="2" customFormat="1" ht="26.25" customHeight="1" x14ac:dyDescent="0.2">
      <c r="A10" s="21"/>
      <c r="B10" s="15"/>
      <c r="C10" s="22"/>
      <c r="D10" s="309" t="s">
        <v>162</v>
      </c>
      <c r="E10" s="309"/>
      <c r="F10" s="23">
        <v>190</v>
      </c>
      <c r="G10" s="144"/>
      <c r="H10" s="124"/>
      <c r="I10" s="25"/>
      <c r="J10" s="25"/>
      <c r="K10" s="26"/>
    </row>
    <row r="11" spans="1:11" s="2" customFormat="1" ht="15" customHeight="1" x14ac:dyDescent="0.2">
      <c r="A11" s="21"/>
      <c r="B11" s="24"/>
      <c r="C11" s="8"/>
      <c r="D11" s="310" t="s">
        <v>159</v>
      </c>
      <c r="E11" s="310"/>
      <c r="F11" s="209">
        <v>150</v>
      </c>
      <c r="G11" s="123"/>
      <c r="H11" s="25"/>
      <c r="I11" s="25"/>
      <c r="J11" s="25"/>
      <c r="K11" s="26"/>
    </row>
    <row r="12" spans="1:11" s="2" customFormat="1" ht="13.5" customHeight="1" x14ac:dyDescent="0.2">
      <c r="A12" s="21"/>
      <c r="B12" s="24"/>
      <c r="C12" s="8"/>
      <c r="D12" s="310" t="s">
        <v>9</v>
      </c>
      <c r="E12" s="310"/>
      <c r="F12" s="125">
        <v>54</v>
      </c>
      <c r="G12" s="126"/>
      <c r="H12" s="25"/>
      <c r="I12" s="25"/>
      <c r="J12" s="25"/>
      <c r="K12" s="26"/>
    </row>
    <row r="13" spans="1:11" s="2" customFormat="1" ht="34.5" customHeight="1" x14ac:dyDescent="0.2">
      <c r="A13" s="21"/>
      <c r="B13" s="24"/>
      <c r="C13" s="8"/>
      <c r="D13" s="310" t="s">
        <v>10</v>
      </c>
      <c r="E13" s="310"/>
      <c r="F13" s="140" t="s">
        <v>11</v>
      </c>
      <c r="G13" s="143"/>
      <c r="H13" s="25"/>
      <c r="I13" s="25"/>
      <c r="J13" s="25"/>
      <c r="K13" s="26"/>
    </row>
    <row r="14" spans="1:11" s="3" customFormat="1" ht="10.5" customHeight="1" x14ac:dyDescent="0.25">
      <c r="A14" s="97"/>
      <c r="B14" s="98"/>
      <c r="C14" s="27"/>
      <c r="D14" s="27"/>
      <c r="E14" s="27"/>
      <c r="F14" s="27"/>
      <c r="G14" s="27"/>
      <c r="H14" s="98"/>
      <c r="I14" s="98"/>
      <c r="J14" s="98"/>
      <c r="K14" s="99"/>
    </row>
    <row r="15" spans="1:11" s="3" customFormat="1" ht="10.5" customHeight="1" x14ac:dyDescent="0.25">
      <c r="A15" s="97"/>
      <c r="B15" s="98"/>
      <c r="C15" s="27"/>
      <c r="D15" s="27"/>
      <c r="E15" s="27"/>
      <c r="F15" s="27"/>
      <c r="G15" s="27"/>
      <c r="H15" s="98"/>
      <c r="I15" s="98"/>
      <c r="J15" s="98"/>
      <c r="K15" s="99"/>
    </row>
    <row r="16" spans="1:11" s="3" customFormat="1" ht="11.25" customHeight="1" x14ac:dyDescent="0.2">
      <c r="A16" s="30" t="s">
        <v>12</v>
      </c>
      <c r="K16" s="6"/>
    </row>
    <row r="17" spans="1:11" s="3" customFormat="1" ht="11.25" customHeight="1" x14ac:dyDescent="0.2">
      <c r="A17" s="30"/>
      <c r="K17" s="6"/>
    </row>
    <row r="18" spans="1:11" s="3" customFormat="1" ht="11.25" customHeight="1" x14ac:dyDescent="0.2">
      <c r="A18" s="28"/>
      <c r="K18" s="6"/>
    </row>
    <row r="19" spans="1:11" s="3" customFormat="1" ht="11.25" customHeight="1" x14ac:dyDescent="0.2">
      <c r="A19" s="40" t="s">
        <v>13</v>
      </c>
      <c r="C19" s="311" t="s">
        <v>14</v>
      </c>
      <c r="D19" s="311"/>
      <c r="E19" s="32">
        <f>5.28/2</f>
        <v>2.64</v>
      </c>
      <c r="F19" s="33" t="s">
        <v>2</v>
      </c>
      <c r="G19" s="312"/>
      <c r="H19" s="312"/>
      <c r="I19" s="225"/>
      <c r="J19" s="320"/>
      <c r="K19" s="226"/>
    </row>
    <row r="20" spans="1:11" s="3" customFormat="1" ht="11.25" customHeight="1" x14ac:dyDescent="0.2">
      <c r="A20" s="29"/>
      <c r="C20" s="322" t="s">
        <v>17</v>
      </c>
      <c r="D20" s="322"/>
      <c r="E20" s="32">
        <v>3</v>
      </c>
      <c r="F20" s="33" t="s">
        <v>2</v>
      </c>
      <c r="G20" s="321"/>
      <c r="H20" s="321"/>
      <c r="I20" s="227"/>
      <c r="J20" s="320"/>
      <c r="K20" s="228"/>
    </row>
    <row r="21" spans="1:11" s="3" customFormat="1" ht="11.25" customHeight="1" x14ac:dyDescent="0.2">
      <c r="A21" s="29"/>
      <c r="B21" s="211" t="s">
        <v>20</v>
      </c>
      <c r="C21" s="322" t="s">
        <v>21</v>
      </c>
      <c r="D21" s="322"/>
      <c r="E21" s="37">
        <v>3</v>
      </c>
      <c r="F21" s="33" t="s">
        <v>2</v>
      </c>
      <c r="G21" s="214" t="s">
        <v>22</v>
      </c>
      <c r="H21" s="229">
        <f>E21/E19</f>
        <v>1.1363636363636362</v>
      </c>
      <c r="I21" s="318" t="s">
        <v>156</v>
      </c>
      <c r="J21" s="318"/>
      <c r="K21" s="319"/>
    </row>
    <row r="22" spans="1:11" s="3" customFormat="1" ht="11.25" customHeight="1" x14ac:dyDescent="0.2">
      <c r="A22" s="29"/>
      <c r="K22" s="6"/>
    </row>
    <row r="23" spans="1:11" s="3" customFormat="1" ht="11.25" customHeight="1" x14ac:dyDescent="0.2">
      <c r="A23" s="29"/>
      <c r="K23" s="6"/>
    </row>
    <row r="24" spans="1:11" s="3" customFormat="1" ht="11.25" customHeight="1" x14ac:dyDescent="0.2">
      <c r="A24" s="28" t="s">
        <v>23</v>
      </c>
      <c r="K24" s="6"/>
    </row>
    <row r="25" spans="1:11" s="3" customFormat="1" ht="11.25" customHeight="1" x14ac:dyDescent="0.2">
      <c r="A25" s="28"/>
      <c r="K25" s="6"/>
    </row>
    <row r="26" spans="1:11" s="3" customFormat="1" ht="11.25" customHeight="1" x14ac:dyDescent="0.2">
      <c r="A26" s="28"/>
      <c r="K26" s="6"/>
    </row>
    <row r="27" spans="1:11" s="3" customFormat="1" ht="11.25" customHeight="1" x14ac:dyDescent="0.2">
      <c r="A27" s="41" t="s">
        <v>24</v>
      </c>
      <c r="B27" s="4" t="s">
        <v>25</v>
      </c>
      <c r="C27" s="4"/>
      <c r="G27" s="223"/>
      <c r="H27" s="224"/>
      <c r="I27" s="165"/>
      <c r="K27" s="6"/>
    </row>
    <row r="28" spans="1:11" s="3" customFormat="1" ht="11.25" customHeight="1" x14ac:dyDescent="0.2">
      <c r="A28" s="139"/>
      <c r="B28" s="4"/>
      <c r="C28" s="4"/>
      <c r="G28" s="127"/>
      <c r="H28" s="138"/>
      <c r="I28" s="165"/>
      <c r="K28" s="6"/>
    </row>
    <row r="29" spans="1:11" s="3" customFormat="1" ht="11.25" customHeight="1" x14ac:dyDescent="0.2">
      <c r="A29" s="139"/>
      <c r="B29" s="4"/>
      <c r="C29" s="4"/>
      <c r="K29" s="6"/>
    </row>
    <row r="30" spans="1:11" s="3" customFormat="1" ht="11.25" customHeight="1" x14ac:dyDescent="0.2">
      <c r="A30" s="30" t="s">
        <v>26</v>
      </c>
      <c r="B30" s="127"/>
      <c r="C30" s="138"/>
      <c r="D30" s="33"/>
      <c r="E30" s="38"/>
      <c r="G30" s="33"/>
      <c r="H30" s="33"/>
      <c r="I30" s="33"/>
      <c r="J30" s="33"/>
      <c r="K30" s="6"/>
    </row>
    <row r="31" spans="1:11" s="3" customFormat="1" ht="11.25" customHeight="1" x14ac:dyDescent="0.2">
      <c r="A31" s="30"/>
      <c r="B31" s="127"/>
      <c r="C31" s="138"/>
      <c r="D31" s="33"/>
      <c r="E31" s="38"/>
      <c r="G31" s="33"/>
      <c r="H31" s="33"/>
      <c r="I31" s="33"/>
      <c r="J31" s="33"/>
      <c r="K31" s="6"/>
    </row>
    <row r="32" spans="1:11" s="3" customFormat="1" ht="11.25" customHeight="1" x14ac:dyDescent="0.2">
      <c r="A32" s="29"/>
      <c r="B32" s="127"/>
      <c r="C32" s="138"/>
      <c r="D32" s="33"/>
      <c r="E32" s="38"/>
      <c r="G32" s="33"/>
      <c r="H32" s="33"/>
      <c r="I32" s="33"/>
      <c r="J32" s="33"/>
      <c r="K32" s="6"/>
    </row>
    <row r="33" spans="1:11" s="3" customFormat="1" ht="11.25" customHeight="1" x14ac:dyDescent="0.2">
      <c r="A33" s="39"/>
      <c r="C33" s="40" t="s">
        <v>27</v>
      </c>
      <c r="D33" s="40" t="s">
        <v>28</v>
      </c>
      <c r="E33" s="41" t="s">
        <v>29</v>
      </c>
      <c r="G33" s="44"/>
      <c r="K33" s="6"/>
    </row>
    <row r="34" spans="1:11" s="3" customFormat="1" ht="11.25" customHeight="1" x14ac:dyDescent="0.2">
      <c r="A34" s="39"/>
      <c r="C34" s="42">
        <f>E21</f>
        <v>3</v>
      </c>
      <c r="D34" s="42">
        <f>E19</f>
        <v>2.64</v>
      </c>
      <c r="E34" s="42">
        <f>F10/1000</f>
        <v>0.19</v>
      </c>
      <c r="K34" s="6"/>
    </row>
    <row r="35" spans="1:11" s="3" customFormat="1" ht="11.25" customHeight="1" x14ac:dyDescent="0.2">
      <c r="A35" s="29"/>
      <c r="C35" s="40" t="s">
        <v>30</v>
      </c>
      <c r="D35" s="40" t="s">
        <v>31</v>
      </c>
      <c r="E35" s="41" t="s">
        <v>32</v>
      </c>
      <c r="F35" s="4"/>
      <c r="G35" s="163"/>
      <c r="K35" s="6"/>
    </row>
    <row r="36" spans="1:11" s="3" customFormat="1" ht="11.25" customHeight="1" x14ac:dyDescent="0.2">
      <c r="A36" s="29"/>
      <c r="C36" s="43">
        <f>C34/0.0254</f>
        <v>118.11023622047244</v>
      </c>
      <c r="D36" s="43">
        <f>D34/0.0254</f>
        <v>103.93700787401576</v>
      </c>
      <c r="E36" s="43">
        <f>E34/0.0254</f>
        <v>7.4803149606299213</v>
      </c>
      <c r="K36" s="6"/>
    </row>
    <row r="37" spans="1:11" s="3" customFormat="1" ht="11.25" customHeight="1" x14ac:dyDescent="0.2">
      <c r="A37" s="29"/>
      <c r="K37" s="6"/>
    </row>
    <row r="38" spans="1:11" s="3" customFormat="1" ht="11.25" customHeight="1" x14ac:dyDescent="0.2">
      <c r="A38" s="52"/>
      <c r="D38" s="25"/>
      <c r="E38" s="25"/>
      <c r="F38" s="25"/>
      <c r="G38" s="25"/>
      <c r="H38" s="44"/>
      <c r="I38" s="47"/>
      <c r="J38" s="44"/>
      <c r="K38" s="6"/>
    </row>
    <row r="39" spans="1:11" s="3" customFormat="1" ht="10.5" customHeight="1" x14ac:dyDescent="0.2">
      <c r="A39" s="29"/>
      <c r="B39" s="44"/>
      <c r="I39" s="47"/>
      <c r="J39" s="44"/>
      <c r="K39" s="6"/>
    </row>
    <row r="40" spans="1:11" s="3" customFormat="1" ht="10.5" customHeight="1" x14ac:dyDescent="0.2">
      <c r="A40" s="29"/>
      <c r="I40" s="47"/>
      <c r="J40" s="44"/>
      <c r="K40" s="6"/>
    </row>
    <row r="41" spans="1:11" s="3" customFormat="1" ht="10.5" customHeight="1" x14ac:dyDescent="0.2">
      <c r="A41" s="29"/>
      <c r="I41" s="47"/>
      <c r="J41" s="44"/>
      <c r="K41" s="6"/>
    </row>
    <row r="42" spans="1:11" s="3" customFormat="1" ht="15" customHeight="1" x14ac:dyDescent="0.2">
      <c r="A42" s="29"/>
      <c r="I42" s="47"/>
      <c r="J42" s="44"/>
      <c r="K42" s="6"/>
    </row>
    <row r="43" spans="1:11" s="3" customFormat="1" ht="15" customHeight="1" x14ac:dyDescent="0.2">
      <c r="A43" s="29"/>
      <c r="B43" s="164"/>
      <c r="H43" s="142"/>
      <c r="I43" s="47"/>
      <c r="J43" s="163"/>
      <c r="K43" s="6"/>
    </row>
    <row r="44" spans="1:11" s="3" customFormat="1" ht="10.5" customHeight="1" x14ac:dyDescent="0.2">
      <c r="A44" s="29"/>
      <c r="I44" s="47"/>
      <c r="J44" s="44"/>
      <c r="K44" s="6"/>
    </row>
    <row r="45" spans="1:11" s="3" customFormat="1" ht="10.5" customHeight="1" x14ac:dyDescent="0.2">
      <c r="A45" s="113"/>
      <c r="B45" s="114"/>
      <c r="C45" s="114"/>
      <c r="D45" s="114"/>
      <c r="E45" s="114"/>
      <c r="F45" s="114"/>
      <c r="G45" s="114"/>
      <c r="H45" s="114"/>
      <c r="I45" s="57"/>
      <c r="J45" s="154"/>
      <c r="K45" s="115"/>
    </row>
    <row r="46" spans="1:11" s="33" customFormat="1" ht="11.25" customHeight="1" x14ac:dyDescent="0.2">
      <c r="A46" s="155" t="s">
        <v>33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41"/>
    </row>
    <row r="47" spans="1:11" s="33" customFormat="1" ht="11.25" customHeight="1" x14ac:dyDescent="0.2">
      <c r="A47" s="28"/>
      <c r="K47" s="53"/>
    </row>
    <row r="48" spans="1:11" s="33" customFormat="1" ht="11.25" customHeight="1" x14ac:dyDescent="0.2">
      <c r="A48" s="54"/>
      <c r="K48" s="53"/>
    </row>
    <row r="49" spans="1:11" s="33" customFormat="1" ht="11.25" customHeight="1" x14ac:dyDescent="0.2">
      <c r="A49" s="52" t="s">
        <v>34</v>
      </c>
      <c r="K49" s="53"/>
    </row>
    <row r="50" spans="1:11" s="33" customFormat="1" ht="11.25" customHeight="1" x14ac:dyDescent="0.2">
      <c r="A50" s="52"/>
      <c r="K50" s="53"/>
    </row>
    <row r="51" spans="1:11" s="33" customFormat="1" ht="11.25" customHeight="1" x14ac:dyDescent="0.2">
      <c r="A51" s="54"/>
      <c r="K51" s="53"/>
    </row>
    <row r="52" spans="1:11" s="33" customFormat="1" ht="11.25" customHeight="1" x14ac:dyDescent="0.2">
      <c r="A52" s="211" t="s">
        <v>35</v>
      </c>
      <c r="B52" s="211" t="s">
        <v>36</v>
      </c>
      <c r="C52" s="211">
        <v>4200</v>
      </c>
      <c r="D52" s="66" t="s">
        <v>3</v>
      </c>
      <c r="E52" s="211">
        <f>C52/0.07</f>
        <v>59999.999999999993</v>
      </c>
      <c r="F52" s="66" t="s">
        <v>37</v>
      </c>
      <c r="K52" s="53"/>
    </row>
    <row r="53" spans="1:11" s="33" customFormat="1" ht="11.25" customHeight="1" x14ac:dyDescent="0.2">
      <c r="A53" s="211" t="s">
        <v>38</v>
      </c>
      <c r="B53" s="61" t="s">
        <v>39</v>
      </c>
      <c r="C53" s="211">
        <v>12.7</v>
      </c>
      <c r="D53" s="66" t="s">
        <v>40</v>
      </c>
      <c r="E53" s="62">
        <f>C53/25.4</f>
        <v>0.5</v>
      </c>
      <c r="F53" s="66" t="s">
        <v>41</v>
      </c>
      <c r="K53" s="53"/>
    </row>
    <row r="54" spans="1:11" s="33" customFormat="1" ht="11.25" customHeight="1" x14ac:dyDescent="0.2">
      <c r="A54" s="315" t="s">
        <v>42</v>
      </c>
      <c r="B54" s="317"/>
      <c r="C54" s="211" t="s">
        <v>43</v>
      </c>
      <c r="K54" s="53"/>
    </row>
    <row r="55" spans="1:11" s="33" customFormat="1" ht="11.25" customHeight="1" x14ac:dyDescent="0.2">
      <c r="A55" s="48"/>
      <c r="B55" s="63"/>
      <c r="K55" s="53"/>
    </row>
    <row r="56" spans="1:11" s="33" customFormat="1" ht="11.25" customHeight="1" x14ac:dyDescent="0.2">
      <c r="A56" s="70" t="s">
        <v>44</v>
      </c>
      <c r="K56" s="53"/>
    </row>
    <row r="57" spans="1:11" s="33" customFormat="1" ht="11.25" customHeight="1" x14ac:dyDescent="0.2">
      <c r="A57" s="315" t="s">
        <v>45</v>
      </c>
      <c r="B57" s="316"/>
      <c r="C57" s="317"/>
      <c r="D57" s="313" t="s">
        <v>13</v>
      </c>
      <c r="E57" s="314"/>
      <c r="K57" s="53"/>
    </row>
    <row r="58" spans="1:11" s="33" customFormat="1" ht="11.25" customHeight="1" x14ac:dyDescent="0.2">
      <c r="A58" s="315" t="s">
        <v>46</v>
      </c>
      <c r="B58" s="316"/>
      <c r="C58" s="317"/>
      <c r="D58" s="193" t="s">
        <v>157</v>
      </c>
      <c r="E58" s="194"/>
      <c r="F58" s="195"/>
      <c r="G58" s="212"/>
      <c r="K58" s="53"/>
    </row>
    <row r="59" spans="1:11" s="33" customFormat="1" ht="11.25" customHeight="1" x14ac:dyDescent="0.2">
      <c r="A59" s="315" t="s">
        <v>47</v>
      </c>
      <c r="B59" s="316"/>
      <c r="C59" s="317"/>
      <c r="D59" s="326" t="s">
        <v>48</v>
      </c>
      <c r="E59" s="327"/>
      <c r="F59" s="327"/>
      <c r="G59" s="328"/>
      <c r="K59" s="53"/>
    </row>
    <row r="60" spans="1:11" s="33" customFormat="1" ht="11.25" customHeight="1" x14ac:dyDescent="0.2">
      <c r="A60" s="54"/>
      <c r="K60" s="53"/>
    </row>
    <row r="61" spans="1:11" s="33" customFormat="1" ht="11.25" customHeight="1" x14ac:dyDescent="0.2">
      <c r="A61" s="54"/>
      <c r="K61" s="53"/>
    </row>
    <row r="62" spans="1:11" s="33" customFormat="1" ht="11.25" customHeight="1" x14ac:dyDescent="0.2">
      <c r="A62" s="70" t="s">
        <v>49</v>
      </c>
      <c r="B62" s="64"/>
      <c r="E62" s="65"/>
      <c r="K62" s="53"/>
    </row>
    <row r="63" spans="1:11" s="33" customFormat="1" ht="11.25" customHeight="1" x14ac:dyDescent="0.2">
      <c r="A63" s="211" t="s">
        <v>50</v>
      </c>
      <c r="B63" s="211" t="s">
        <v>51</v>
      </c>
      <c r="C63" s="128">
        <f>($D$34-0.2)</f>
        <v>2.44</v>
      </c>
      <c r="D63" s="66" t="s">
        <v>52</v>
      </c>
      <c r="E63" s="66"/>
      <c r="K63" s="53"/>
    </row>
    <row r="64" spans="1:11" s="33" customFormat="1" ht="11.25" customHeight="1" x14ac:dyDescent="0.2">
      <c r="A64" s="67" t="s">
        <v>53</v>
      </c>
      <c r="B64" s="67" t="s">
        <v>54</v>
      </c>
      <c r="C64" s="211">
        <v>0.2</v>
      </c>
      <c r="D64" s="66" t="s">
        <v>52</v>
      </c>
      <c r="K64" s="53"/>
    </row>
    <row r="65" spans="1:11" s="33" customFormat="1" ht="11.25" customHeight="1" x14ac:dyDescent="0.2">
      <c r="A65" s="213" t="s">
        <v>55</v>
      </c>
      <c r="B65" s="179">
        <f>($C$34)/($C$64)</f>
        <v>15</v>
      </c>
      <c r="C65" s="68"/>
      <c r="K65" s="53"/>
    </row>
    <row r="66" spans="1:11" s="33" customFormat="1" ht="11.25" customHeight="1" x14ac:dyDescent="0.2">
      <c r="A66" s="93"/>
      <c r="B66" s="177"/>
      <c r="C66" s="178"/>
      <c r="K66" s="53"/>
    </row>
    <row r="67" spans="1:11" s="33" customFormat="1" ht="11.25" customHeight="1" x14ac:dyDescent="0.2">
      <c r="A67" s="54"/>
      <c r="K67" s="53"/>
    </row>
    <row r="68" spans="1:11" s="33" customFormat="1" ht="11.25" customHeight="1" x14ac:dyDescent="0.2">
      <c r="A68" s="70" t="s">
        <v>56</v>
      </c>
      <c r="B68" s="64"/>
      <c r="E68" s="65"/>
      <c r="K68" s="53"/>
    </row>
    <row r="69" spans="1:11" s="33" customFormat="1" ht="11.25" customHeight="1" x14ac:dyDescent="0.2">
      <c r="A69" s="211" t="s">
        <v>50</v>
      </c>
      <c r="B69" s="211" t="s">
        <v>51</v>
      </c>
      <c r="C69" s="128">
        <f>($C$34-0.2)</f>
        <v>2.8</v>
      </c>
      <c r="D69" s="66" t="s">
        <v>52</v>
      </c>
      <c r="E69" s="66"/>
      <c r="K69" s="53"/>
    </row>
    <row r="70" spans="1:11" s="33" customFormat="1" ht="11.25" customHeight="1" x14ac:dyDescent="0.2">
      <c r="A70" s="67" t="s">
        <v>53</v>
      </c>
      <c r="B70" s="67" t="s">
        <v>54</v>
      </c>
      <c r="C70" s="211">
        <v>0.2</v>
      </c>
      <c r="D70" s="66" t="s">
        <v>52</v>
      </c>
      <c r="K70" s="53"/>
    </row>
    <row r="71" spans="1:11" s="33" customFormat="1" ht="11.25" customHeight="1" x14ac:dyDescent="0.2">
      <c r="A71" s="213" t="s">
        <v>55</v>
      </c>
      <c r="B71" s="179">
        <f>($D$34)/($C$70)</f>
        <v>13.2</v>
      </c>
      <c r="C71" s="68"/>
      <c r="K71" s="53"/>
    </row>
    <row r="72" spans="1:11" s="33" customFormat="1" ht="11.25" customHeight="1" x14ac:dyDescent="0.2">
      <c r="A72" s="54"/>
      <c r="D72" s="162"/>
      <c r="E72" s="162"/>
      <c r="F72" s="162"/>
      <c r="G72" s="162"/>
      <c r="H72" s="47"/>
      <c r="I72" s="47"/>
      <c r="J72" s="332"/>
      <c r="K72" s="333"/>
    </row>
    <row r="73" spans="1:11" s="33" customFormat="1" ht="11.25" customHeight="1" x14ac:dyDescent="0.2">
      <c r="A73" s="54"/>
      <c r="I73" s="47"/>
      <c r="K73" s="53"/>
    </row>
    <row r="74" spans="1:11" s="33" customFormat="1" ht="11.25" customHeight="1" x14ac:dyDescent="0.2">
      <c r="A74" s="54"/>
      <c r="K74" s="53"/>
    </row>
    <row r="75" spans="1:11" s="33" customFormat="1" ht="11.25" customHeight="1" x14ac:dyDescent="0.25">
      <c r="A75" s="93"/>
      <c r="B75"/>
      <c r="C75"/>
      <c r="D75"/>
      <c r="E75"/>
      <c r="F75"/>
      <c r="G75" s="3"/>
      <c r="H75" s="3"/>
      <c r="I75" s="3"/>
      <c r="J75" s="3"/>
      <c r="K75" s="217"/>
    </row>
    <row r="76" spans="1:11" s="33" customFormat="1" ht="11.25" customHeight="1" x14ac:dyDescent="0.2">
      <c r="A76" s="54"/>
      <c r="D76" s="44"/>
      <c r="I76" s="44"/>
      <c r="K76" s="53"/>
    </row>
    <row r="77" spans="1:11" s="33" customFormat="1" ht="11.25" customHeight="1" x14ac:dyDescent="0.2">
      <c r="A77" s="186"/>
      <c r="B77" s="4"/>
      <c r="K77" s="53"/>
    </row>
    <row r="78" spans="1:11" s="33" customFormat="1" ht="11.25" customHeight="1" x14ac:dyDescent="0.2">
      <c r="A78" s="186"/>
      <c r="B78" s="162"/>
      <c r="C78" s="162"/>
      <c r="D78" s="162"/>
      <c r="E78" s="162"/>
      <c r="F78" s="162"/>
      <c r="G78" s="47"/>
      <c r="H78" s="47"/>
      <c r="J78" s="47"/>
      <c r="K78" s="46"/>
    </row>
    <row r="79" spans="1:11" s="33" customFormat="1" ht="11.25" customHeight="1" x14ac:dyDescent="0.2">
      <c r="A79" s="54"/>
      <c r="D79" s="162"/>
      <c r="E79" s="162"/>
      <c r="F79" s="162"/>
      <c r="G79" s="162"/>
      <c r="H79" s="162"/>
      <c r="K79" s="53"/>
    </row>
    <row r="80" spans="1:11" s="33" customFormat="1" ht="11.25" customHeight="1" x14ac:dyDescent="0.2">
      <c r="A80" s="54"/>
      <c r="B80" s="175"/>
      <c r="C80" s="175"/>
      <c r="D80" s="175"/>
      <c r="E80" s="175"/>
      <c r="F80" s="175"/>
      <c r="H80" s="176"/>
      <c r="I80" s="176"/>
      <c r="J80" s="176"/>
      <c r="K80" s="53"/>
    </row>
    <row r="81" spans="1:11" s="33" customFormat="1" ht="11.25" customHeight="1" x14ac:dyDescent="0.2">
      <c r="A81" s="54"/>
      <c r="K81" s="53"/>
    </row>
    <row r="82" spans="1:11" s="33" customFormat="1" ht="11.25" customHeight="1" x14ac:dyDescent="0.2">
      <c r="A82" s="54"/>
      <c r="E82" s="59"/>
      <c r="F82" s="142"/>
      <c r="G82" s="44"/>
      <c r="K82" s="53"/>
    </row>
    <row r="83" spans="1:11" s="33" customFormat="1" ht="11.25" customHeight="1" x14ac:dyDescent="0.2">
      <c r="A83" s="54"/>
      <c r="E83" s="59"/>
      <c r="F83" s="44"/>
      <c r="G83" s="44"/>
      <c r="K83" s="53"/>
    </row>
    <row r="84" spans="1:11" s="33" customFormat="1" ht="11.25" customHeight="1" x14ac:dyDescent="0.2">
      <c r="A84" s="54"/>
      <c r="E84" s="59"/>
      <c r="F84" s="44"/>
      <c r="G84" s="44"/>
      <c r="K84" s="53"/>
    </row>
    <row r="85" spans="1:11" s="33" customFormat="1" ht="11.25" customHeight="1" x14ac:dyDescent="0.2">
      <c r="A85" s="54"/>
      <c r="E85" s="59"/>
      <c r="F85" s="44"/>
      <c r="G85" s="63"/>
      <c r="H85" s="45"/>
      <c r="K85" s="53"/>
    </row>
    <row r="86" spans="1:11" s="33" customFormat="1" ht="11.25" customHeight="1" x14ac:dyDescent="0.2">
      <c r="A86" s="54"/>
      <c r="E86" s="59"/>
      <c r="F86" s="44"/>
      <c r="G86" s="63"/>
      <c r="H86" s="45"/>
      <c r="K86" s="53"/>
    </row>
    <row r="87" spans="1:11" s="33" customFormat="1" ht="11.25" customHeight="1" x14ac:dyDescent="0.2">
      <c r="A87" s="54"/>
      <c r="E87" s="59"/>
      <c r="F87" s="44"/>
      <c r="G87" s="63"/>
      <c r="H87" s="45"/>
      <c r="K87" s="53"/>
    </row>
    <row r="88" spans="1:11" s="33" customFormat="1" ht="11.25" customHeight="1" x14ac:dyDescent="0.2">
      <c r="A88" s="54"/>
      <c r="E88" s="59"/>
      <c r="F88" s="44"/>
      <c r="G88" s="63"/>
      <c r="H88" s="45"/>
      <c r="K88" s="53"/>
    </row>
    <row r="89" spans="1:11" s="33" customFormat="1" ht="11.25" customHeight="1" x14ac:dyDescent="0.2">
      <c r="A89" s="54"/>
      <c r="E89" s="59"/>
      <c r="F89" s="44"/>
      <c r="G89" s="63"/>
      <c r="H89" s="45"/>
      <c r="K89" s="53"/>
    </row>
    <row r="90" spans="1:11" s="33" customFormat="1" ht="11.25" customHeight="1" x14ac:dyDescent="0.2">
      <c r="A90" s="54"/>
      <c r="E90" s="59"/>
      <c r="F90" s="44"/>
      <c r="G90" s="63"/>
      <c r="H90" s="45"/>
      <c r="K90" s="53"/>
    </row>
    <row r="91" spans="1:11" s="33" customFormat="1" ht="11.25" customHeight="1" x14ac:dyDescent="0.2">
      <c r="A91" s="54"/>
      <c r="E91" s="59"/>
      <c r="F91" s="44"/>
      <c r="G91" s="63"/>
      <c r="H91" s="45"/>
      <c r="K91" s="53"/>
    </row>
    <row r="92" spans="1:11" s="33" customFormat="1" ht="11.25" customHeight="1" x14ac:dyDescent="0.2">
      <c r="A92" s="54"/>
      <c r="E92" s="59"/>
      <c r="F92" s="44"/>
      <c r="G92" s="63"/>
      <c r="H92" s="45"/>
      <c r="K92" s="53"/>
    </row>
    <row r="93" spans="1:11" s="33" customFormat="1" ht="11.25" customHeight="1" x14ac:dyDescent="0.2">
      <c r="A93" s="54"/>
      <c r="E93" s="59"/>
      <c r="F93" s="44"/>
      <c r="G93" s="63"/>
      <c r="H93" s="45"/>
      <c r="K93" s="53"/>
    </row>
    <row r="94" spans="1:11" s="33" customFormat="1" ht="11.25" customHeight="1" x14ac:dyDescent="0.2">
      <c r="A94" s="54"/>
      <c r="E94" s="59"/>
      <c r="F94" s="44"/>
      <c r="G94" s="44"/>
      <c r="K94" s="53"/>
    </row>
    <row r="95" spans="1:11" s="33" customFormat="1" ht="11.25" customHeight="1" x14ac:dyDescent="0.2">
      <c r="A95" s="54"/>
      <c r="E95" s="59"/>
      <c r="F95" s="44"/>
      <c r="G95" s="44"/>
      <c r="K95" s="53"/>
    </row>
    <row r="96" spans="1:11" s="33" customFormat="1" ht="11.25" customHeight="1" x14ac:dyDescent="0.2">
      <c r="A96" s="145"/>
      <c r="B96" s="56"/>
      <c r="C96" s="56"/>
      <c r="D96" s="56"/>
      <c r="E96" s="187"/>
      <c r="F96" s="154"/>
      <c r="G96" s="188"/>
      <c r="H96" s="56"/>
      <c r="I96" s="56"/>
      <c r="J96" s="56"/>
      <c r="K96" s="58"/>
    </row>
    <row r="97" spans="1:11" s="33" customFormat="1" ht="11.25" customHeight="1" x14ac:dyDescent="0.2">
      <c r="A97" s="158" t="s">
        <v>57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41"/>
    </row>
    <row r="98" spans="1:11" s="33" customFormat="1" ht="11.25" customHeight="1" x14ac:dyDescent="0.2">
      <c r="A98" s="52"/>
      <c r="K98" s="53"/>
    </row>
    <row r="99" spans="1:11" s="33" customFormat="1" ht="11.25" customHeight="1" x14ac:dyDescent="0.2">
      <c r="A99" s="52"/>
      <c r="K99" s="53"/>
    </row>
    <row r="100" spans="1:11" s="33" customFormat="1" ht="11.25" customHeight="1" x14ac:dyDescent="0.2">
      <c r="A100" s="52" t="s">
        <v>58</v>
      </c>
      <c r="K100" s="53"/>
    </row>
    <row r="101" spans="1:11" s="33" customFormat="1" ht="11.25" customHeight="1" x14ac:dyDescent="0.2">
      <c r="A101" s="52"/>
      <c r="K101" s="53"/>
    </row>
    <row r="102" spans="1:11" s="33" customFormat="1" ht="11.25" customHeight="1" x14ac:dyDescent="0.2">
      <c r="A102" s="70"/>
      <c r="K102" s="53"/>
    </row>
    <row r="103" spans="1:11" s="33" customFormat="1" ht="15" customHeight="1" x14ac:dyDescent="0.35">
      <c r="A103" s="54"/>
      <c r="B103" s="345" t="s">
        <v>59</v>
      </c>
      <c r="C103" s="345"/>
      <c r="D103" s="345"/>
      <c r="E103" s="345"/>
      <c r="F103" s="63" t="s">
        <v>60</v>
      </c>
      <c r="K103" s="53"/>
    </row>
    <row r="104" spans="1:11" s="33" customFormat="1" ht="11.25" customHeight="1" x14ac:dyDescent="0.2">
      <c r="A104" s="54"/>
      <c r="B104" s="71"/>
      <c r="C104" s="71"/>
      <c r="D104" s="71"/>
      <c r="K104" s="53"/>
    </row>
    <row r="105" spans="1:11" s="33" customFormat="1" ht="15" customHeight="1" x14ac:dyDescent="0.35">
      <c r="A105" s="54"/>
      <c r="B105" s="346" t="s">
        <v>61</v>
      </c>
      <c r="C105" s="346"/>
      <c r="D105" s="346"/>
      <c r="E105" s="346"/>
      <c r="F105" s="63" t="s">
        <v>62</v>
      </c>
      <c r="K105" s="53"/>
    </row>
    <row r="106" spans="1:11" s="33" customFormat="1" ht="11.25" customHeight="1" x14ac:dyDescent="0.25">
      <c r="A106" s="54"/>
      <c r="B106" s="73"/>
      <c r="C106" s="73"/>
      <c r="D106" s="73"/>
      <c r="E106" s="63"/>
      <c r="K106" s="53"/>
    </row>
    <row r="107" spans="1:11" s="33" customFormat="1" ht="15" customHeight="1" x14ac:dyDescent="0.35">
      <c r="A107" s="54"/>
      <c r="B107" s="346" t="s">
        <v>63</v>
      </c>
      <c r="C107" s="346"/>
      <c r="D107" s="346"/>
      <c r="E107" s="47"/>
      <c r="F107" s="47" t="s">
        <v>64</v>
      </c>
      <c r="H107" s="74"/>
      <c r="K107" s="53"/>
    </row>
    <row r="108" spans="1:11" s="33" customFormat="1" ht="11.25" customHeight="1" x14ac:dyDescent="0.25">
      <c r="A108" s="54"/>
      <c r="B108" s="73"/>
      <c r="C108" s="73"/>
      <c r="D108" s="4"/>
      <c r="K108" s="53"/>
    </row>
    <row r="109" spans="1:11" s="33" customFormat="1" ht="18.75" customHeight="1" x14ac:dyDescent="0.2">
      <c r="A109" s="330" t="s">
        <v>65</v>
      </c>
      <c r="B109" s="331"/>
      <c r="C109" s="329" t="s">
        <v>66</v>
      </c>
      <c r="D109" s="329"/>
      <c r="E109" s="329"/>
      <c r="K109" s="53"/>
    </row>
    <row r="110" spans="1:11" s="33" customFormat="1" ht="11.25" customHeight="1" x14ac:dyDescent="0.2">
      <c r="A110" s="216"/>
      <c r="B110" s="45"/>
      <c r="C110" s="183"/>
      <c r="D110" s="183"/>
      <c r="E110" s="183"/>
      <c r="K110" s="53"/>
    </row>
    <row r="111" spans="1:11" s="3" customFormat="1" ht="11.25" customHeight="1" x14ac:dyDescent="0.2">
      <c r="A111" s="29" t="s">
        <v>67</v>
      </c>
      <c r="D111" s="184">
        <f>$C$36</f>
        <v>118.11023622047244</v>
      </c>
      <c r="E111" s="70" t="s">
        <v>68</v>
      </c>
      <c r="F111" s="75"/>
      <c r="G111" s="33"/>
      <c r="K111" s="6"/>
    </row>
    <row r="112" spans="1:11" s="3" customFormat="1" ht="11.25" customHeight="1" x14ac:dyDescent="0.2">
      <c r="A112" s="29" t="s">
        <v>69</v>
      </c>
      <c r="D112" s="184">
        <v>3674288</v>
      </c>
      <c r="E112" s="70" t="s">
        <v>70</v>
      </c>
      <c r="F112" s="77"/>
      <c r="G112" s="33"/>
      <c r="H112" s="33"/>
      <c r="I112" s="222"/>
      <c r="K112" s="6"/>
    </row>
    <row r="113" spans="1:11" s="3" customFormat="1" ht="11.25" customHeight="1" x14ac:dyDescent="0.2">
      <c r="A113" s="29" t="s">
        <v>71</v>
      </c>
      <c r="D113" s="78">
        <f>$E$36</f>
        <v>7.4803149606299213</v>
      </c>
      <c r="E113" s="70" t="s">
        <v>68</v>
      </c>
      <c r="F113" s="79"/>
      <c r="G113" s="33"/>
      <c r="K113" s="6"/>
    </row>
    <row r="114" spans="1:11" s="3" customFormat="1" ht="11.25" customHeight="1" x14ac:dyDescent="0.25">
      <c r="A114" s="80" t="s">
        <v>72</v>
      </c>
      <c r="D114" s="213">
        <v>0.15</v>
      </c>
      <c r="E114" s="130" t="s">
        <v>0</v>
      </c>
      <c r="F114" s="49"/>
      <c r="G114" s="81"/>
      <c r="K114" s="6"/>
    </row>
    <row r="115" spans="1:11" s="3" customFormat="1" ht="11.25" customHeight="1" x14ac:dyDescent="0.2">
      <c r="A115" s="29" t="s">
        <v>73</v>
      </c>
      <c r="D115" s="76">
        <v>135.55000000000001</v>
      </c>
      <c r="E115" s="131" t="s">
        <v>74</v>
      </c>
      <c r="F115" s="77"/>
      <c r="G115" s="7"/>
      <c r="K115" s="6"/>
    </row>
    <row r="116" spans="1:11" s="3" customFormat="1" ht="15" customHeight="1" x14ac:dyDescent="0.3">
      <c r="A116" s="29" t="s">
        <v>75</v>
      </c>
      <c r="D116" s="78">
        <f>(($D$112*$D$113^3)/(12*(1-$D$114^2)*$D$115))^0.25</f>
        <v>31.360561382197776</v>
      </c>
      <c r="E116" s="70" t="s">
        <v>68</v>
      </c>
      <c r="F116" s="75"/>
      <c r="G116" s="33"/>
      <c r="K116" s="6"/>
    </row>
    <row r="117" spans="1:11" s="3" customFormat="1" ht="11.25" customHeight="1" x14ac:dyDescent="0.2">
      <c r="A117" s="29"/>
      <c r="D117" s="83"/>
      <c r="K117" s="6"/>
    </row>
    <row r="118" spans="1:11" s="3" customFormat="1" ht="11.25" customHeight="1" x14ac:dyDescent="0.2">
      <c r="A118" s="29"/>
      <c r="D118" s="83"/>
      <c r="K118" s="6"/>
    </row>
    <row r="119" spans="1:11" s="33" customFormat="1" ht="11.25" customHeight="1" x14ac:dyDescent="0.2">
      <c r="A119" s="54"/>
      <c r="D119" s="323" t="s">
        <v>76</v>
      </c>
      <c r="E119" s="324"/>
      <c r="K119" s="53"/>
    </row>
    <row r="120" spans="1:11" s="33" customFormat="1" ht="16.5" customHeight="1" x14ac:dyDescent="0.3">
      <c r="A120" s="54"/>
      <c r="B120" s="148" t="s">
        <v>77</v>
      </c>
      <c r="C120" s="76">
        <f>$D$111/$D$116</f>
        <v>3.7662028680238877</v>
      </c>
      <c r="D120" s="110" t="s">
        <v>78</v>
      </c>
      <c r="E120" s="84">
        <v>0.21</v>
      </c>
      <c r="F120" s="86" t="s">
        <v>79</v>
      </c>
      <c r="G120" s="85">
        <v>6.0000000000000002E-6</v>
      </c>
      <c r="H120" s="213" t="s">
        <v>80</v>
      </c>
      <c r="I120" s="325" t="s">
        <v>81</v>
      </c>
      <c r="J120" s="325"/>
      <c r="K120" s="325"/>
    </row>
    <row r="121" spans="1:11" s="33" customFormat="1" ht="15" customHeight="1" x14ac:dyDescent="0.3">
      <c r="A121" s="54"/>
      <c r="B121" s="148" t="s">
        <v>82</v>
      </c>
      <c r="C121" s="76">
        <f>$D$36/$D$116</f>
        <v>3.3142585238610218</v>
      </c>
      <c r="D121" s="110" t="s">
        <v>83</v>
      </c>
      <c r="E121" s="213">
        <v>0.21</v>
      </c>
      <c r="F121" s="86" t="s">
        <v>84</v>
      </c>
      <c r="G121" s="87">
        <v>9</v>
      </c>
      <c r="H121" s="213" t="s">
        <v>85</v>
      </c>
      <c r="I121" s="325" t="s">
        <v>86</v>
      </c>
      <c r="J121" s="325"/>
      <c r="K121" s="325"/>
    </row>
    <row r="122" spans="1:11" s="33" customFormat="1" ht="11.25" customHeight="1" x14ac:dyDescent="0.2">
      <c r="A122" s="54"/>
      <c r="K122" s="53"/>
    </row>
    <row r="123" spans="1:11" s="33" customFormat="1" ht="18" customHeight="1" x14ac:dyDescent="0.25">
      <c r="A123" s="88"/>
      <c r="B123" s="89"/>
      <c r="C123" s="90"/>
      <c r="D123" s="91" t="s">
        <v>87</v>
      </c>
      <c r="E123" s="92">
        <f>((($D$112*$G$120*$G$121)/(2*(1-$D$114^2)))*($E$120+($D$114*$E$121)))*$E$36</f>
        <v>183.33999362667902</v>
      </c>
      <c r="F123" s="129" t="s">
        <v>88</v>
      </c>
      <c r="K123" s="53"/>
    </row>
    <row r="124" spans="1:11" s="33" customFormat="1" ht="11.25" customHeight="1" x14ac:dyDescent="0.2">
      <c r="A124" s="93"/>
      <c r="B124" s="49"/>
      <c r="D124" s="94"/>
      <c r="E124" s="95"/>
      <c r="F124" s="66"/>
      <c r="K124" s="53"/>
    </row>
    <row r="125" spans="1:11" s="33" customFormat="1" ht="18" customHeight="1" x14ac:dyDescent="0.25">
      <c r="A125" s="88"/>
      <c r="B125" s="89"/>
      <c r="C125" s="90"/>
      <c r="D125" s="91" t="s">
        <v>89</v>
      </c>
      <c r="E125" s="92">
        <f>((($D$112*$G$120*$G$121)/(2*(1-$D$114^2)))*($E$121+($D$114*$E$120)))*$E$36</f>
        <v>183.33999362667902</v>
      </c>
      <c r="F125" s="129" t="s">
        <v>88</v>
      </c>
      <c r="K125" s="53"/>
    </row>
    <row r="126" spans="1:11" s="33" customFormat="1" ht="11.25" customHeight="1" x14ac:dyDescent="0.2">
      <c r="A126" s="93"/>
      <c r="B126" s="49"/>
      <c r="D126" s="94"/>
      <c r="E126" s="95"/>
      <c r="F126" s="66"/>
      <c r="K126" s="53"/>
    </row>
    <row r="127" spans="1:11" s="33" customFormat="1" ht="18" customHeight="1" x14ac:dyDescent="0.2">
      <c r="A127" s="88"/>
      <c r="B127" s="89"/>
      <c r="D127" s="91" t="s">
        <v>90</v>
      </c>
      <c r="E127" s="92">
        <f>($E$120*$D$112*$G$120*$G$121/2)*$E$36</f>
        <v>155.83899458267717</v>
      </c>
      <c r="F127" s="129" t="s">
        <v>88</v>
      </c>
      <c r="K127" s="53"/>
    </row>
    <row r="128" spans="1:11" s="33" customFormat="1" ht="11.25" customHeight="1" x14ac:dyDescent="0.2">
      <c r="A128" s="54"/>
      <c r="D128" s="49"/>
      <c r="E128" s="96"/>
      <c r="F128" s="66"/>
      <c r="K128" s="53"/>
    </row>
    <row r="129" spans="1:11" s="33" customFormat="1" ht="18" customHeight="1" x14ac:dyDescent="0.2">
      <c r="A129" s="54"/>
      <c r="D129" s="91" t="s">
        <v>90</v>
      </c>
      <c r="E129" s="92">
        <f>($E$121*$D$112*$G$120*$G$121/2)*$E$36</f>
        <v>155.83899458267717</v>
      </c>
      <c r="F129" s="129" t="s">
        <v>88</v>
      </c>
      <c r="K129" s="53"/>
    </row>
    <row r="130" spans="1:11" s="33" customFormat="1" ht="11.25" customHeight="1" x14ac:dyDescent="0.2">
      <c r="A130" s="54"/>
      <c r="K130" s="53"/>
    </row>
    <row r="131" spans="1:11" s="33" customFormat="1" ht="11.25" customHeight="1" x14ac:dyDescent="0.2">
      <c r="A131" s="54"/>
      <c r="K131" s="53"/>
    </row>
    <row r="132" spans="1:11" ht="11.25" customHeight="1" x14ac:dyDescent="0.25">
      <c r="A132" s="52" t="s">
        <v>91</v>
      </c>
      <c r="K132" s="1"/>
    </row>
    <row r="133" spans="1:11" ht="11.25" customHeight="1" x14ac:dyDescent="0.25">
      <c r="A133" s="52"/>
      <c r="K133" s="1"/>
    </row>
    <row r="134" spans="1:11" ht="11.25" customHeight="1" x14ac:dyDescent="0.25">
      <c r="A134" s="52"/>
      <c r="K134" s="1"/>
    </row>
    <row r="135" spans="1:11" ht="21.75" x14ac:dyDescent="0.25">
      <c r="A135" s="100"/>
      <c r="B135" s="347" t="s">
        <v>92</v>
      </c>
      <c r="C135" s="347"/>
      <c r="D135" s="347"/>
      <c r="E135" s="347"/>
      <c r="F135" s="55" t="s">
        <v>93</v>
      </c>
      <c r="K135" s="1"/>
    </row>
    <row r="136" spans="1:11" s="3" customFormat="1" ht="11.25" customHeight="1" x14ac:dyDescent="0.2">
      <c r="A136" s="29"/>
      <c r="E136" s="4"/>
      <c r="K136" s="6"/>
    </row>
    <row r="137" spans="1:11" s="3" customFormat="1" ht="21.75" x14ac:dyDescent="0.2">
      <c r="A137" s="82"/>
      <c r="B137" s="347" t="s">
        <v>94</v>
      </c>
      <c r="C137" s="347"/>
      <c r="D137" s="347"/>
      <c r="E137" s="347"/>
      <c r="F137" s="55" t="s">
        <v>95</v>
      </c>
      <c r="K137" s="6"/>
    </row>
    <row r="138" spans="1:11" s="3" customFormat="1" ht="11.25" customHeight="1" x14ac:dyDescent="0.2">
      <c r="A138" s="29"/>
      <c r="K138" s="6"/>
    </row>
    <row r="139" spans="1:11" s="3" customFormat="1" ht="15" customHeight="1" x14ac:dyDescent="0.2">
      <c r="A139" s="189"/>
      <c r="B139" s="218"/>
      <c r="C139" s="121" t="s">
        <v>96</v>
      </c>
      <c r="D139" s="342" t="s">
        <v>97</v>
      </c>
      <c r="E139" s="343"/>
      <c r="F139" s="343"/>
      <c r="G139" s="343"/>
      <c r="H139" s="343"/>
      <c r="I139" s="190">
        <f>2.38*($D$148*$D$116)^0.5</f>
        <v>48.822467011902759</v>
      </c>
      <c r="J139" s="159" t="s">
        <v>68</v>
      </c>
      <c r="K139" s="115"/>
    </row>
    <row r="140" spans="1:11" s="3" customFormat="1" ht="35.25" customHeight="1" x14ac:dyDescent="0.2">
      <c r="A140" s="191"/>
      <c r="B140" s="50"/>
      <c r="C140" s="213" t="s">
        <v>98</v>
      </c>
      <c r="D140" s="76">
        <f>K140*2.205</f>
        <v>24255</v>
      </c>
      <c r="E140" s="356" t="s">
        <v>158</v>
      </c>
      <c r="F140" s="357"/>
      <c r="G140" s="357"/>
      <c r="H140" s="357"/>
      <c r="I140" s="358"/>
      <c r="J140" s="101" t="s">
        <v>99</v>
      </c>
      <c r="K140" s="213">
        <f>22*1000/2</f>
        <v>11000</v>
      </c>
    </row>
    <row r="141" spans="1:11" s="3" customFormat="1" ht="11.25" customHeight="1" x14ac:dyDescent="0.2">
      <c r="A141" s="29"/>
      <c r="K141" s="6"/>
    </row>
    <row r="142" spans="1:11" s="3" customFormat="1" ht="11.25" customHeight="1" x14ac:dyDescent="0.2">
      <c r="A142" s="29"/>
      <c r="B142" s="49"/>
      <c r="C142" s="102" t="s">
        <v>100</v>
      </c>
      <c r="D142" s="213">
        <v>80</v>
      </c>
      <c r="E142" s="4" t="s">
        <v>101</v>
      </c>
      <c r="K142" s="6"/>
    </row>
    <row r="143" spans="1:11" s="3" customFormat="1" ht="11.25" customHeight="1" x14ac:dyDescent="0.2">
      <c r="A143" s="29"/>
      <c r="K143" s="6"/>
    </row>
    <row r="144" spans="1:11" s="3" customFormat="1" ht="11.25" customHeight="1" x14ac:dyDescent="0.2">
      <c r="A144" s="29"/>
      <c r="C144" s="221" t="s">
        <v>102</v>
      </c>
      <c r="D144" s="84">
        <v>12.76</v>
      </c>
      <c r="E144" s="4" t="s">
        <v>103</v>
      </c>
      <c r="K144" s="6"/>
    </row>
    <row r="145" spans="1:12" s="3" customFormat="1" ht="11.25" customHeight="1" x14ac:dyDescent="0.2">
      <c r="A145" s="29"/>
      <c r="C145" s="104"/>
      <c r="D145" s="75"/>
      <c r="E145" s="4"/>
      <c r="K145" s="6"/>
    </row>
    <row r="146" spans="1:12" s="3" customFormat="1" ht="11.25" customHeight="1" x14ac:dyDescent="0.2">
      <c r="A146" s="29"/>
      <c r="C146" s="359" t="s">
        <v>104</v>
      </c>
      <c r="D146" s="359"/>
      <c r="E146" s="359"/>
      <c r="F146" s="359"/>
      <c r="G146" s="4" t="s">
        <v>105</v>
      </c>
      <c r="K146" s="6"/>
    </row>
    <row r="147" spans="1:12" s="3" customFormat="1" ht="11.25" customHeight="1" x14ac:dyDescent="0.2">
      <c r="A147" s="29"/>
      <c r="K147" s="6"/>
    </row>
    <row r="148" spans="1:12" s="3" customFormat="1" ht="11.25" customHeight="1" x14ac:dyDescent="0.2">
      <c r="A148" s="93"/>
      <c r="B148" s="44"/>
      <c r="C148" s="213" t="s">
        <v>1</v>
      </c>
      <c r="D148" s="105">
        <f>((0.8521*D140/(D142*3.1416))+(D144/3.1416)*(D140/(0.5227*D142))^0.5)^0.5</f>
        <v>13.418429811636141</v>
      </c>
      <c r="E148" s="69" t="s">
        <v>68</v>
      </c>
      <c r="K148" s="6"/>
      <c r="L148" s="4"/>
    </row>
    <row r="149" spans="1:12" s="3" customFormat="1" ht="11.25" customHeight="1" x14ac:dyDescent="0.2">
      <c r="A149" s="29"/>
      <c r="E149" s="66"/>
      <c r="K149" s="6"/>
    </row>
    <row r="150" spans="1:12" ht="18" customHeight="1" x14ac:dyDescent="0.25">
      <c r="A150" s="88"/>
      <c r="B150" s="89"/>
      <c r="C150" s="91" t="s">
        <v>106</v>
      </c>
      <c r="D150" s="106">
        <f>(3*$D$140/$E$36^2)*(1-($D$148*(2^0.5)/$D$116)^0.6)</f>
        <v>338.40095676076663</v>
      </c>
      <c r="E150" s="129" t="s">
        <v>88</v>
      </c>
      <c r="G150" s="107"/>
      <c r="H150" s="107"/>
      <c r="I150" s="107"/>
      <c r="K150" s="1"/>
    </row>
    <row r="151" spans="1:12" s="3" customFormat="1" ht="11.25" customHeight="1" x14ac:dyDescent="0.2">
      <c r="A151" s="54"/>
      <c r="B151" s="33"/>
      <c r="C151" s="33"/>
      <c r="D151" s="33"/>
      <c r="E151" s="63"/>
      <c r="K151" s="6"/>
    </row>
    <row r="152" spans="1:12" s="3" customFormat="1" ht="18" customHeight="1" x14ac:dyDescent="0.2">
      <c r="A152" s="93"/>
      <c r="B152" s="49"/>
      <c r="C152" s="91" t="s">
        <v>107</v>
      </c>
      <c r="D152" s="108">
        <f>($D$140/($D$115*$D$116^2))*(1.1-(0.88*($D$148*(2^0.5)/$D$116)))</f>
        <v>0.10325326338710773</v>
      </c>
      <c r="E152" s="69" t="s">
        <v>68</v>
      </c>
      <c r="K152" s="6"/>
    </row>
    <row r="153" spans="1:12" s="3" customFormat="1" ht="11.25" customHeight="1" x14ac:dyDescent="0.2">
      <c r="A153" s="29"/>
      <c r="K153" s="6"/>
    </row>
    <row r="154" spans="1:12" s="3" customFormat="1" ht="11.25" customHeight="1" x14ac:dyDescent="0.2">
      <c r="A154" s="29"/>
      <c r="K154" s="6"/>
    </row>
    <row r="155" spans="1:12" ht="11.25" customHeight="1" x14ac:dyDescent="0.25">
      <c r="A155" s="52" t="s">
        <v>108</v>
      </c>
      <c r="K155" s="1"/>
    </row>
    <row r="156" spans="1:12" ht="11.25" customHeight="1" x14ac:dyDescent="0.25">
      <c r="A156" s="52"/>
      <c r="K156" s="1"/>
    </row>
    <row r="157" spans="1:12" ht="11.25" customHeight="1" x14ac:dyDescent="0.25">
      <c r="A157" s="70"/>
      <c r="K157" s="1"/>
    </row>
    <row r="158" spans="1:12" s="3" customFormat="1" ht="18" customHeight="1" x14ac:dyDescent="0.25">
      <c r="A158" s="100"/>
      <c r="B158" s="109"/>
      <c r="C158" s="348" t="s">
        <v>109</v>
      </c>
      <c r="D158" s="349"/>
      <c r="E158" s="349"/>
      <c r="F158" s="350"/>
      <c r="G158" s="47" t="s">
        <v>110</v>
      </c>
      <c r="K158" s="6"/>
    </row>
    <row r="159" spans="1:12" s="3" customFormat="1" ht="11.25" customHeight="1" x14ac:dyDescent="0.2">
      <c r="A159" s="29"/>
      <c r="K159" s="6"/>
    </row>
    <row r="160" spans="1:12" s="3" customFormat="1" ht="21.75" x14ac:dyDescent="0.35">
      <c r="A160" s="82"/>
      <c r="B160" s="107"/>
      <c r="C160" s="351" t="s">
        <v>111</v>
      </c>
      <c r="D160" s="352"/>
      <c r="E160" s="352"/>
      <c r="F160" s="353"/>
      <c r="G160" s="55" t="s">
        <v>112</v>
      </c>
      <c r="K160" s="6"/>
    </row>
    <row r="161" spans="1:11" s="3" customFormat="1" ht="11.25" customHeight="1" x14ac:dyDescent="0.2">
      <c r="A161" s="29"/>
      <c r="K161" s="6"/>
    </row>
    <row r="162" spans="1:11" s="3" customFormat="1" ht="11.25" customHeight="1" x14ac:dyDescent="0.2">
      <c r="A162" s="93"/>
      <c r="B162" s="49"/>
      <c r="C162" s="122" t="s">
        <v>113</v>
      </c>
      <c r="D162" s="122" t="s">
        <v>114</v>
      </c>
      <c r="E162" s="34">
        <f>0.724*$D$113</f>
        <v>5.4157480314960624</v>
      </c>
      <c r="F162" s="69" t="s">
        <v>68</v>
      </c>
      <c r="G162" s="110" t="s">
        <v>115</v>
      </c>
      <c r="H162" s="111" t="s">
        <v>116</v>
      </c>
      <c r="K162" s="6"/>
    </row>
    <row r="163" spans="1:11" s="3" customFormat="1" ht="15" customHeight="1" x14ac:dyDescent="0.2">
      <c r="A163" s="82"/>
      <c r="B163" s="354" t="s">
        <v>117</v>
      </c>
      <c r="C163" s="354"/>
      <c r="D163" s="354"/>
      <c r="E163" s="34">
        <f>(((1.6*$D$148^2)+($D$113^2))^0.5)-(0.675*$D$113)</f>
        <v>13.499154598875826</v>
      </c>
      <c r="F163" s="69" t="s">
        <v>68</v>
      </c>
      <c r="K163" s="6"/>
    </row>
    <row r="164" spans="1:11" s="3" customFormat="1" ht="11.25" customHeight="1" x14ac:dyDescent="0.2">
      <c r="A164" s="29"/>
      <c r="K164" s="6"/>
    </row>
    <row r="165" spans="1:11" s="3" customFormat="1" ht="18" customHeight="1" x14ac:dyDescent="0.35">
      <c r="A165" s="29"/>
      <c r="C165" s="147" t="s">
        <v>118</v>
      </c>
      <c r="D165" s="106">
        <f>(0.316*$D$140/$E$36^2)*(4*LOG($D$116/$E$163)+1.069)</f>
        <v>347.00582402134864</v>
      </c>
      <c r="E165" s="93" t="s">
        <v>88</v>
      </c>
      <c r="K165" s="6"/>
    </row>
    <row r="166" spans="1:11" s="3" customFormat="1" ht="11.25" customHeight="1" x14ac:dyDescent="0.2">
      <c r="A166" s="29"/>
      <c r="C166" s="33"/>
      <c r="D166" s="112"/>
      <c r="E166" s="4"/>
      <c r="K166" s="6"/>
    </row>
    <row r="167" spans="1:11" s="3" customFormat="1" ht="18" customHeight="1" x14ac:dyDescent="0.35">
      <c r="A167" s="29"/>
      <c r="C167" s="147" t="s">
        <v>119</v>
      </c>
      <c r="D167" s="146">
        <f>($D$140/(8*$D$115*$D$116^2))*(1+((2/3.1416)*(LN($D$148/(2*$D$116))-0.673))*($D$148/$D$116)^2)</f>
        <v>1.6871347527699618E-2</v>
      </c>
      <c r="E167" s="49" t="s">
        <v>68</v>
      </c>
      <c r="K167" s="6"/>
    </row>
    <row r="168" spans="1:11" s="3" customFormat="1" ht="11.25" customHeight="1" x14ac:dyDescent="0.2">
      <c r="A168" s="29"/>
      <c r="K168" s="6"/>
    </row>
    <row r="169" spans="1:11" s="3" customFormat="1" ht="11.25" customHeight="1" x14ac:dyDescent="0.2">
      <c r="A169" s="29"/>
      <c r="K169" s="6"/>
    </row>
    <row r="170" spans="1:11" s="3" customFormat="1" ht="11.25" customHeight="1" x14ac:dyDescent="0.2">
      <c r="A170" s="52" t="s">
        <v>120</v>
      </c>
      <c r="K170" s="6"/>
    </row>
    <row r="171" spans="1:11" s="3" customFormat="1" ht="11.25" customHeight="1" x14ac:dyDescent="0.2">
      <c r="A171" s="52"/>
      <c r="K171" s="6"/>
    </row>
    <row r="172" spans="1:11" s="3" customFormat="1" ht="11.25" customHeight="1" x14ac:dyDescent="0.2">
      <c r="A172" s="52"/>
      <c r="K172" s="6"/>
    </row>
    <row r="173" spans="1:11" s="3" customFormat="1" ht="18" customHeight="1" x14ac:dyDescent="0.35">
      <c r="A173" s="29"/>
      <c r="C173" s="340" t="s">
        <v>121</v>
      </c>
      <c r="D173" s="355"/>
      <c r="E173" s="355"/>
      <c r="F173" s="341"/>
      <c r="G173" s="47" t="s">
        <v>122</v>
      </c>
      <c r="K173" s="6"/>
    </row>
    <row r="174" spans="1:11" s="3" customFormat="1" ht="11.25" customHeight="1" x14ac:dyDescent="0.2">
      <c r="A174" s="29"/>
      <c r="K174" s="6"/>
    </row>
    <row r="175" spans="1:11" s="3" customFormat="1" ht="18" customHeight="1" x14ac:dyDescent="0.35">
      <c r="A175" s="29"/>
      <c r="C175" s="337" t="s">
        <v>123</v>
      </c>
      <c r="D175" s="338"/>
      <c r="E175" s="338"/>
      <c r="F175" s="339"/>
      <c r="G175" s="55" t="s">
        <v>112</v>
      </c>
      <c r="K175" s="6"/>
    </row>
    <row r="176" spans="1:11" s="3" customFormat="1" ht="11.25" customHeight="1" x14ac:dyDescent="0.2">
      <c r="A176" s="29"/>
      <c r="K176" s="6"/>
    </row>
    <row r="177" spans="1:11" s="3" customFormat="1" ht="18" customHeight="1" x14ac:dyDescent="0.35">
      <c r="A177" s="29"/>
      <c r="C177" s="147" t="s">
        <v>124</v>
      </c>
      <c r="D177" s="106">
        <f>(0.572*$D$140/$E$36^2)*(4*LOG($D$116/$E$163)-0.359)</f>
        <v>274.05722551489077</v>
      </c>
      <c r="E177" s="93" t="s">
        <v>88</v>
      </c>
      <c r="K177" s="6"/>
    </row>
    <row r="178" spans="1:11" s="3" customFormat="1" ht="11.25" customHeight="1" x14ac:dyDescent="0.2">
      <c r="A178" s="29"/>
      <c r="C178" s="33"/>
      <c r="D178" s="96"/>
      <c r="E178" s="4"/>
      <c r="K178" s="6"/>
    </row>
    <row r="179" spans="1:11" s="3" customFormat="1" ht="18" customHeight="1" x14ac:dyDescent="0.35">
      <c r="A179" s="29"/>
      <c r="C179" s="147" t="s">
        <v>125</v>
      </c>
      <c r="D179" s="108">
        <f>(0.431*$D$140/($D$115*$D$116^2))*(1-(0.82*($D$148/($D$116))))</f>
        <v>5.0903881155234317E-2</v>
      </c>
      <c r="E179" s="49" t="s">
        <v>68</v>
      </c>
      <c r="K179" s="6"/>
    </row>
    <row r="180" spans="1:11" s="3" customFormat="1" ht="11.25" customHeight="1" x14ac:dyDescent="0.2">
      <c r="A180" s="29"/>
      <c r="D180" s="116"/>
      <c r="K180" s="6"/>
    </row>
    <row r="181" spans="1:11" s="3" customFormat="1" ht="11.25" customHeight="1" x14ac:dyDescent="0.2">
      <c r="A181" s="113"/>
      <c r="B181" s="114"/>
      <c r="C181" s="114"/>
      <c r="D181" s="192"/>
      <c r="E181" s="114"/>
      <c r="F181" s="114"/>
      <c r="G181" s="114"/>
      <c r="H181" s="114"/>
      <c r="I181" s="114"/>
      <c r="J181" s="114"/>
      <c r="K181" s="115"/>
    </row>
    <row r="182" spans="1:11" s="3" customFormat="1" ht="11.25" customHeight="1" x14ac:dyDescent="0.2">
      <c r="A182" s="155" t="s">
        <v>126</v>
      </c>
      <c r="B182" s="156"/>
      <c r="C182" s="156"/>
      <c r="D182" s="156"/>
      <c r="E182" s="156"/>
      <c r="F182" s="156"/>
      <c r="G182" s="156"/>
      <c r="H182" s="156"/>
      <c r="I182" s="156"/>
      <c r="J182" s="156"/>
      <c r="K182" s="160"/>
    </row>
    <row r="183" spans="1:11" s="3" customFormat="1" ht="11.25" customHeight="1" x14ac:dyDescent="0.2">
      <c r="A183" s="28"/>
      <c r="K183" s="6"/>
    </row>
    <row r="184" spans="1:11" s="3" customFormat="1" ht="11.25" customHeight="1" x14ac:dyDescent="0.2">
      <c r="A184" s="28"/>
      <c r="K184" s="6"/>
    </row>
    <row r="185" spans="1:11" s="3" customFormat="1" ht="21" customHeight="1" x14ac:dyDescent="0.35">
      <c r="A185" s="100"/>
      <c r="B185" s="109"/>
      <c r="C185" s="109"/>
      <c r="D185" s="340" t="s">
        <v>127</v>
      </c>
      <c r="E185" s="341"/>
      <c r="F185" s="51" t="s">
        <v>128</v>
      </c>
      <c r="I185" s="340" t="s">
        <v>129</v>
      </c>
      <c r="J185" s="341"/>
      <c r="K185" s="185" t="s">
        <v>130</v>
      </c>
    </row>
    <row r="186" spans="1:11" s="3" customFormat="1" ht="11.25" customHeight="1" x14ac:dyDescent="0.2">
      <c r="A186" s="100"/>
      <c r="B186" s="109"/>
      <c r="C186" s="109"/>
      <c r="K186" s="6"/>
    </row>
    <row r="187" spans="1:11" s="3" customFormat="1" ht="18" customHeight="1" x14ac:dyDescent="0.35">
      <c r="A187" s="100"/>
      <c r="B187" s="109"/>
      <c r="C187" s="109"/>
      <c r="D187" s="220" t="s">
        <v>131</v>
      </c>
      <c r="E187" s="84">
        <f>2400*0.0361273/1000</f>
        <v>8.6705520000000008E-2</v>
      </c>
      <c r="F187" s="47" t="s">
        <v>132</v>
      </c>
      <c r="I187" s="215" t="s">
        <v>133</v>
      </c>
      <c r="J187" s="170">
        <f>(E187*D113*E188*E189)/(2*E52)</f>
        <v>7.9796333467666952E-5</v>
      </c>
      <c r="K187" s="6" t="s">
        <v>134</v>
      </c>
    </row>
    <row r="188" spans="1:11" s="3" customFormat="1" ht="11.25" customHeight="1" x14ac:dyDescent="0.2">
      <c r="A188" s="100"/>
      <c r="B188" s="109"/>
      <c r="C188" s="109"/>
      <c r="D188" s="213" t="s">
        <v>135</v>
      </c>
      <c r="E188" s="84">
        <f>C36/12</f>
        <v>9.8425196850393704</v>
      </c>
      <c r="F188" s="4" t="s">
        <v>136</v>
      </c>
      <c r="K188" s="6"/>
    </row>
    <row r="189" spans="1:11" s="3" customFormat="1" ht="15" customHeight="1" x14ac:dyDescent="0.3">
      <c r="A189" s="100"/>
      <c r="B189" s="109"/>
      <c r="C189" s="109"/>
      <c r="D189" s="180" t="s">
        <v>137</v>
      </c>
      <c r="E189" s="122">
        <v>1.5</v>
      </c>
      <c r="F189" s="47" t="s">
        <v>138</v>
      </c>
      <c r="K189" s="6"/>
    </row>
    <row r="190" spans="1:11" s="3" customFormat="1" ht="18" customHeight="1" x14ac:dyDescent="0.35">
      <c r="A190" s="100"/>
      <c r="B190" s="109"/>
      <c r="C190" s="109"/>
      <c r="D190" s="147" t="s">
        <v>139</v>
      </c>
      <c r="E190" s="92">
        <f>$E$187*$E$188*$E$189/2</f>
        <v>0.64005059055118119</v>
      </c>
      <c r="F190" s="69" t="s">
        <v>88</v>
      </c>
      <c r="K190" s="6"/>
    </row>
    <row r="191" spans="1:11" s="3" customFormat="1" ht="11.25" customHeight="1" x14ac:dyDescent="0.25">
      <c r="A191" s="100"/>
      <c r="B191" s="109"/>
      <c r="C191" s="109"/>
      <c r="D191" s="181"/>
      <c r="E191" s="182"/>
      <c r="F191" s="69"/>
      <c r="K191" s="6"/>
    </row>
    <row r="192" spans="1:11" s="3" customFormat="1" ht="11.25" customHeight="1" x14ac:dyDescent="0.25">
      <c r="A192" s="100"/>
      <c r="B192" s="109"/>
      <c r="C192" s="109"/>
      <c r="D192" s="181"/>
      <c r="E192" s="182"/>
      <c r="F192" s="69"/>
      <c r="K192" s="6"/>
    </row>
    <row r="193" spans="1:11" s="3" customFormat="1" ht="11.25" customHeight="1" x14ac:dyDescent="0.2">
      <c r="A193" s="28" t="s">
        <v>140</v>
      </c>
      <c r="K193" s="6"/>
    </row>
    <row r="194" spans="1:11" s="3" customFormat="1" ht="11.25" customHeight="1" x14ac:dyDescent="0.2">
      <c r="A194" s="28"/>
      <c r="K194" s="6"/>
    </row>
    <row r="195" spans="1:11" s="3" customFormat="1" ht="11.25" customHeight="1" x14ac:dyDescent="0.2">
      <c r="A195" s="29"/>
      <c r="K195" s="6"/>
    </row>
    <row r="196" spans="1:11" s="3" customFormat="1" ht="56.25" customHeight="1" x14ac:dyDescent="0.2">
      <c r="A196" s="29"/>
      <c r="B196" s="344" t="s">
        <v>141</v>
      </c>
      <c r="C196" s="344"/>
      <c r="D196" s="219" t="s">
        <v>142</v>
      </c>
      <c r="E196" s="219" t="s">
        <v>143</v>
      </c>
      <c r="F196" s="219" t="s">
        <v>144</v>
      </c>
      <c r="G196" s="167"/>
      <c r="K196" s="6"/>
    </row>
    <row r="197" spans="1:11" s="3" customFormat="1" ht="13.5" customHeight="1" x14ac:dyDescent="0.2">
      <c r="A197" s="29"/>
      <c r="B197" s="354" t="s">
        <v>145</v>
      </c>
      <c r="C197" s="354"/>
      <c r="D197" s="149">
        <f>$E$123</f>
        <v>183.33999362667902</v>
      </c>
      <c r="E197" s="334">
        <v>595</v>
      </c>
      <c r="F197" s="149">
        <f>($D$197/$E$197)*100</f>
        <v>30.813444307004879</v>
      </c>
      <c r="G197" s="5"/>
      <c r="K197" s="6"/>
    </row>
    <row r="198" spans="1:11" s="3" customFormat="1" ht="13.5" customHeight="1" x14ac:dyDescent="0.2">
      <c r="A198" s="29"/>
      <c r="B198" s="354" t="s">
        <v>146</v>
      </c>
      <c r="C198" s="354"/>
      <c r="D198" s="149">
        <f>$E$125</f>
        <v>183.33999362667902</v>
      </c>
      <c r="E198" s="360"/>
      <c r="F198" s="149">
        <f>($D$198/$E$197)*100</f>
        <v>30.813444307004879</v>
      </c>
      <c r="G198" s="5"/>
      <c r="K198" s="6"/>
    </row>
    <row r="199" spans="1:11" s="3" customFormat="1" ht="13.5" customHeight="1" x14ac:dyDescent="0.2">
      <c r="A199" s="29"/>
      <c r="B199" s="354" t="s">
        <v>147</v>
      </c>
      <c r="C199" s="354"/>
      <c r="D199" s="149">
        <f>$E$127</f>
        <v>155.83899458267717</v>
      </c>
      <c r="E199" s="360"/>
      <c r="F199" s="149">
        <f>($D$199/$E$197)*100</f>
        <v>26.191427660954147</v>
      </c>
      <c r="G199" s="5"/>
      <c r="K199" s="6"/>
    </row>
    <row r="200" spans="1:11" s="3" customFormat="1" ht="13.5" customHeight="1" x14ac:dyDescent="0.2">
      <c r="A200" s="29"/>
      <c r="B200" s="354" t="s">
        <v>148</v>
      </c>
      <c r="C200" s="354"/>
      <c r="D200" s="149">
        <f>$E$129</f>
        <v>155.83899458267717</v>
      </c>
      <c r="E200" s="361"/>
      <c r="F200" s="149">
        <f>($D$200/$E$197)*100</f>
        <v>26.191427660954147</v>
      </c>
      <c r="G200" s="5"/>
      <c r="K200" s="6"/>
    </row>
    <row r="201" spans="1:11" s="3" customFormat="1" ht="11.25" customHeight="1" x14ac:dyDescent="0.2">
      <c r="A201" s="29"/>
      <c r="K201" s="6"/>
    </row>
    <row r="202" spans="1:11" s="3" customFormat="1" ht="49.5" customHeight="1" x14ac:dyDescent="0.2">
      <c r="A202" s="29"/>
      <c r="B202" s="107"/>
      <c r="C202" s="219" t="s">
        <v>141</v>
      </c>
      <c r="D202" s="219" t="s">
        <v>149</v>
      </c>
      <c r="E202" s="219" t="s">
        <v>143</v>
      </c>
      <c r="F202" s="219" t="s">
        <v>144</v>
      </c>
      <c r="G202" s="167"/>
      <c r="H202" s="117"/>
      <c r="K202" s="6"/>
    </row>
    <row r="203" spans="1:11" s="3" customFormat="1" ht="11.25" customHeight="1" x14ac:dyDescent="0.2">
      <c r="A203" s="29"/>
      <c r="C203" s="150" t="s">
        <v>150</v>
      </c>
      <c r="D203" s="149">
        <f>$D$150</f>
        <v>338.40095676076663</v>
      </c>
      <c r="E203" s="334">
        <v>595</v>
      </c>
      <c r="F203" s="149">
        <f>($D$203/$E$203)*100</f>
        <v>56.874110379960776</v>
      </c>
      <c r="G203" s="168"/>
      <c r="K203" s="6"/>
    </row>
    <row r="204" spans="1:11" s="3" customFormat="1" ht="11.25" customHeight="1" x14ac:dyDescent="0.2">
      <c r="A204" s="29"/>
      <c r="C204" s="150" t="s">
        <v>151</v>
      </c>
      <c r="D204" s="149">
        <f>$D$165</f>
        <v>347.00582402134864</v>
      </c>
      <c r="E204" s="335"/>
      <c r="F204" s="149">
        <f>($D$204/$E$203)*100</f>
        <v>58.320306558209857</v>
      </c>
      <c r="G204" s="168"/>
      <c r="K204" s="6"/>
    </row>
    <row r="205" spans="1:11" s="3" customFormat="1" ht="11.25" customHeight="1" x14ac:dyDescent="0.2">
      <c r="A205" s="29"/>
      <c r="C205" s="150" t="s">
        <v>152</v>
      </c>
      <c r="D205" s="149">
        <f>$D$177</f>
        <v>274.05722551489077</v>
      </c>
      <c r="E205" s="336"/>
      <c r="F205" s="149">
        <f>($D$205/$E$203)*100</f>
        <v>46.060037901662312</v>
      </c>
      <c r="G205" s="168"/>
      <c r="K205" s="6"/>
    </row>
    <row r="206" spans="1:11" s="3" customFormat="1" ht="11.25" customHeight="1" x14ac:dyDescent="0.2">
      <c r="A206" s="29"/>
      <c r="K206" s="6"/>
    </row>
    <row r="207" spans="1:11" s="3" customFormat="1" ht="11.25" customHeight="1" x14ac:dyDescent="0.2">
      <c r="A207" s="29"/>
      <c r="K207" s="6"/>
    </row>
    <row r="208" spans="1:11" s="3" customFormat="1" ht="11.25" customHeight="1" x14ac:dyDescent="0.2">
      <c r="A208" s="28" t="s">
        <v>153</v>
      </c>
      <c r="K208" s="6"/>
    </row>
    <row r="209" spans="1:11" s="3" customFormat="1" ht="11.25" customHeight="1" x14ac:dyDescent="0.2">
      <c r="A209" s="28"/>
      <c r="K209" s="6"/>
    </row>
    <row r="210" spans="1:11" s="3" customFormat="1" ht="11.25" customHeight="1" x14ac:dyDescent="0.2">
      <c r="A210" s="29"/>
      <c r="K210" s="6"/>
    </row>
    <row r="211" spans="1:11" s="3" customFormat="1" ht="23.25" customHeight="1" x14ac:dyDescent="0.2">
      <c r="A211" s="29"/>
      <c r="B211" s="107"/>
      <c r="C211" s="152" t="s">
        <v>141</v>
      </c>
      <c r="D211" s="152" t="s">
        <v>154</v>
      </c>
      <c r="E211" s="152" t="s">
        <v>155</v>
      </c>
      <c r="F211" s="169"/>
      <c r="G211" s="118"/>
      <c r="H211" s="117"/>
      <c r="K211" s="6"/>
    </row>
    <row r="212" spans="1:11" s="3" customFormat="1" ht="11.25" customHeight="1" x14ac:dyDescent="0.2">
      <c r="A212" s="29"/>
      <c r="C212" s="210" t="s">
        <v>150</v>
      </c>
      <c r="D212" s="119">
        <f>$D$152</f>
        <v>0.10325326338710773</v>
      </c>
      <c r="E212" s="120">
        <f>$D$212*25.4</f>
        <v>2.6226328900325364</v>
      </c>
      <c r="F212" s="117"/>
      <c r="K212" s="6"/>
    </row>
    <row r="213" spans="1:11" s="3" customFormat="1" ht="11.25" customHeight="1" x14ac:dyDescent="0.2">
      <c r="A213" s="29"/>
      <c r="C213" s="210" t="s">
        <v>151</v>
      </c>
      <c r="D213" s="119">
        <f>$D$167</f>
        <v>1.6871347527699618E-2</v>
      </c>
      <c r="E213" s="120">
        <f>$D$213*25.4</f>
        <v>0.42853222720357026</v>
      </c>
      <c r="F213" s="117"/>
      <c r="K213" s="6"/>
    </row>
    <row r="214" spans="1:11" s="3" customFormat="1" ht="11.25" customHeight="1" x14ac:dyDescent="0.2">
      <c r="A214" s="29"/>
      <c r="C214" s="210" t="s">
        <v>152</v>
      </c>
      <c r="D214" s="119">
        <f>$D$179</f>
        <v>5.0903881155234317E-2</v>
      </c>
      <c r="E214" s="120">
        <f>$D$214*25.4</f>
        <v>1.2929585813429516</v>
      </c>
      <c r="F214" s="117"/>
      <c r="K214" s="6"/>
    </row>
    <row r="215" spans="1:11" s="3" customFormat="1" ht="11.25" customHeight="1" x14ac:dyDescent="0.2">
      <c r="A215" s="29"/>
      <c r="K215" s="6"/>
    </row>
    <row r="216" spans="1:11" s="3" customFormat="1" ht="11.25" customHeight="1" x14ac:dyDescent="0.2">
      <c r="A216" s="29"/>
      <c r="K216" s="6"/>
    </row>
    <row r="217" spans="1:11" s="3" customFormat="1" ht="11.25" customHeight="1" x14ac:dyDescent="0.2">
      <c r="A217" s="29"/>
      <c r="K217" s="6"/>
    </row>
    <row r="218" spans="1:11" s="3" customFormat="1" ht="11.25" customHeight="1" x14ac:dyDescent="0.2">
      <c r="A218" s="29"/>
      <c r="K218" s="6"/>
    </row>
    <row r="219" spans="1:11" s="3" customFormat="1" ht="11.25" customHeight="1" x14ac:dyDescent="0.2">
      <c r="A219" s="29"/>
      <c r="K219" s="6"/>
    </row>
    <row r="220" spans="1:11" s="3" customFormat="1" ht="11.25" customHeight="1" x14ac:dyDescent="0.2">
      <c r="A220" s="113"/>
      <c r="B220" s="114"/>
      <c r="C220" s="114"/>
      <c r="D220" s="114"/>
      <c r="E220" s="114"/>
      <c r="F220" s="114"/>
      <c r="G220" s="114"/>
      <c r="H220" s="114"/>
      <c r="I220" s="114"/>
      <c r="J220" s="114"/>
      <c r="K220" s="115"/>
    </row>
  </sheetData>
  <mergeCells count="47">
    <mergeCell ref="C21:D21"/>
    <mergeCell ref="I21:K21"/>
    <mergeCell ref="A1:K1"/>
    <mergeCell ref="D9:E9"/>
    <mergeCell ref="D10:E10"/>
    <mergeCell ref="D11:E11"/>
    <mergeCell ref="D12:E12"/>
    <mergeCell ref="D13:E13"/>
    <mergeCell ref="C19:D19"/>
    <mergeCell ref="G19:H19"/>
    <mergeCell ref="J19:J20"/>
    <mergeCell ref="C20:D20"/>
    <mergeCell ref="G20:H20"/>
    <mergeCell ref="A54:B54"/>
    <mergeCell ref="A57:C57"/>
    <mergeCell ref="D57:E57"/>
    <mergeCell ref="A58:C58"/>
    <mergeCell ref="A59:C59"/>
    <mergeCell ref="D59:G59"/>
    <mergeCell ref="J72:K72"/>
    <mergeCell ref="B103:E103"/>
    <mergeCell ref="B105:E105"/>
    <mergeCell ref="B107:D107"/>
    <mergeCell ref="A109:B109"/>
    <mergeCell ref="C109:E109"/>
    <mergeCell ref="C173:F173"/>
    <mergeCell ref="D119:E119"/>
    <mergeCell ref="I120:K120"/>
    <mergeCell ref="I121:K121"/>
    <mergeCell ref="B135:E135"/>
    <mergeCell ref="B137:E137"/>
    <mergeCell ref="D139:H139"/>
    <mergeCell ref="E140:I140"/>
    <mergeCell ref="C146:F146"/>
    <mergeCell ref="C158:F158"/>
    <mergeCell ref="C160:F160"/>
    <mergeCell ref="B163:D163"/>
    <mergeCell ref="E203:E205"/>
    <mergeCell ref="C175:F175"/>
    <mergeCell ref="D185:E185"/>
    <mergeCell ref="I185:J185"/>
    <mergeCell ref="B196:C196"/>
    <mergeCell ref="B197:C197"/>
    <mergeCell ref="E197:E200"/>
    <mergeCell ref="B198:C198"/>
    <mergeCell ref="B199:C199"/>
    <mergeCell ref="B200:C200"/>
  </mergeCells>
  <pageMargins left="0.39370078740157483" right="0.39370078740157483" top="0.39370078740157483" bottom="0.39370078740157483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65F66-993C-40DD-B5A8-3D18F2D4E01B}">
  <sheetPr>
    <tabColor rgb="FFFFC000"/>
  </sheetPr>
  <dimension ref="A1:L220"/>
  <sheetViews>
    <sheetView showGridLines="0" topLeftCell="A196" zoomScaleNormal="100" workbookViewId="0">
      <selection activeCell="F11" sqref="F11"/>
    </sheetView>
  </sheetViews>
  <sheetFormatPr baseColWidth="10" defaultColWidth="8.85546875" defaultRowHeight="15" x14ac:dyDescent="0.25"/>
  <cols>
    <col min="1" max="1" width="17.28515625" customWidth="1"/>
    <col min="2" max="3" width="11.42578125" customWidth="1"/>
    <col min="4" max="4" width="13.5703125" customWidth="1"/>
    <col min="5" max="10" width="11.42578125" customWidth="1"/>
    <col min="11" max="11" width="9.7109375" customWidth="1"/>
    <col min="12" max="256" width="11.42578125" customWidth="1"/>
  </cols>
  <sheetData>
    <row r="1" spans="1:11" s="2" customFormat="1" ht="15" customHeight="1" x14ac:dyDescent="0.2">
      <c r="A1" s="306" t="s">
        <v>161</v>
      </c>
      <c r="B1" s="307"/>
      <c r="C1" s="307"/>
      <c r="D1" s="307"/>
      <c r="E1" s="307"/>
      <c r="F1" s="307"/>
      <c r="G1" s="307"/>
      <c r="H1" s="307"/>
      <c r="I1" s="307"/>
      <c r="J1" s="307"/>
      <c r="K1" s="308"/>
    </row>
    <row r="2" spans="1:11" s="2" customFormat="1" ht="11.25" customHeight="1" x14ac:dyDescent="0.2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7"/>
    </row>
    <row r="3" spans="1:11" s="3" customFormat="1" ht="11.25" customHeight="1" x14ac:dyDescent="0.2">
      <c r="A3" s="28" t="s">
        <v>5</v>
      </c>
      <c r="K3" s="6"/>
    </row>
    <row r="4" spans="1:11" s="3" customFormat="1" ht="11.25" customHeight="1" x14ac:dyDescent="0.2">
      <c r="A4" s="28"/>
      <c r="K4" s="6"/>
    </row>
    <row r="5" spans="1:11" s="3" customFormat="1" ht="11.25" customHeight="1" x14ac:dyDescent="0.2">
      <c r="A5" s="28"/>
      <c r="K5" s="6"/>
    </row>
    <row r="6" spans="1:11" s="2" customFormat="1" ht="11.25" customHeight="1" x14ac:dyDescent="0.2">
      <c r="A6" s="9" t="s">
        <v>6</v>
      </c>
      <c r="B6" s="18"/>
      <c r="C6" s="18"/>
      <c r="D6" s="11"/>
      <c r="E6" s="12"/>
      <c r="F6" s="12"/>
      <c r="G6" s="13"/>
      <c r="H6" s="14"/>
      <c r="I6" s="15"/>
      <c r="J6" s="16"/>
      <c r="K6" s="17"/>
    </row>
    <row r="7" spans="1:11" s="2" customFormat="1" ht="11.25" customHeight="1" x14ac:dyDescent="0.2">
      <c r="A7" s="9"/>
      <c r="B7" s="18"/>
      <c r="C7" s="18"/>
      <c r="D7" s="11"/>
      <c r="E7" s="12"/>
      <c r="F7" s="12"/>
      <c r="G7" s="13"/>
      <c r="H7" s="14"/>
      <c r="I7" s="15"/>
      <c r="J7" s="16"/>
      <c r="K7" s="17"/>
    </row>
    <row r="8" spans="1:11" s="2" customFormat="1" ht="11.25" customHeight="1" x14ac:dyDescent="0.2">
      <c r="A8" s="9"/>
      <c r="B8" s="18"/>
      <c r="C8" s="18"/>
      <c r="D8" s="11"/>
      <c r="E8" s="12"/>
      <c r="F8" s="12"/>
      <c r="G8" s="13"/>
      <c r="H8" s="14"/>
      <c r="I8" s="15"/>
      <c r="J8" s="16"/>
      <c r="K8" s="17"/>
    </row>
    <row r="9" spans="1:11" s="2" customFormat="1" ht="22.5" customHeight="1" x14ac:dyDescent="0.2">
      <c r="A9" s="10"/>
      <c r="B9" s="19"/>
      <c r="C9" s="19"/>
      <c r="D9" s="304" t="s">
        <v>4</v>
      </c>
      <c r="E9" s="305"/>
      <c r="F9" s="208" t="s">
        <v>7</v>
      </c>
      <c r="G9" s="208" t="s">
        <v>8</v>
      </c>
      <c r="H9" s="19"/>
      <c r="I9" s="19"/>
      <c r="J9" s="19"/>
      <c r="K9" s="20"/>
    </row>
    <row r="10" spans="1:11" s="2" customFormat="1" ht="26.25" customHeight="1" x14ac:dyDescent="0.2">
      <c r="A10" s="21"/>
      <c r="B10" s="15"/>
      <c r="C10" s="22"/>
      <c r="D10" s="309" t="s">
        <v>162</v>
      </c>
      <c r="E10" s="309"/>
      <c r="F10" s="23">
        <v>190</v>
      </c>
      <c r="G10" s="144"/>
      <c r="H10" s="124"/>
      <c r="I10" s="25"/>
      <c r="J10" s="25"/>
      <c r="K10" s="26"/>
    </row>
    <row r="11" spans="1:11" s="2" customFormat="1" ht="15" customHeight="1" x14ac:dyDescent="0.2">
      <c r="A11" s="21"/>
      <c r="B11" s="24"/>
      <c r="C11" s="8"/>
      <c r="D11" s="310" t="s">
        <v>159</v>
      </c>
      <c r="E11" s="310"/>
      <c r="F11" s="197">
        <v>150</v>
      </c>
      <c r="G11" s="123"/>
      <c r="H11" s="25"/>
      <c r="I11" s="25"/>
      <c r="J11" s="25"/>
      <c r="K11" s="26"/>
    </row>
    <row r="12" spans="1:11" s="2" customFormat="1" ht="13.5" customHeight="1" x14ac:dyDescent="0.2">
      <c r="A12" s="21"/>
      <c r="B12" s="24"/>
      <c r="C12" s="8"/>
      <c r="D12" s="310" t="s">
        <v>9</v>
      </c>
      <c r="E12" s="310"/>
      <c r="F12" s="125">
        <v>54</v>
      </c>
      <c r="G12" s="126"/>
      <c r="H12" s="25"/>
      <c r="I12" s="25"/>
      <c r="J12" s="25"/>
      <c r="K12" s="26"/>
    </row>
    <row r="13" spans="1:11" s="2" customFormat="1" ht="34.5" customHeight="1" x14ac:dyDescent="0.2">
      <c r="A13" s="21"/>
      <c r="B13" s="24"/>
      <c r="C13" s="8"/>
      <c r="D13" s="310" t="s">
        <v>10</v>
      </c>
      <c r="E13" s="310"/>
      <c r="F13" s="140" t="s">
        <v>11</v>
      </c>
      <c r="G13" s="143"/>
      <c r="H13" s="25"/>
      <c r="I13" s="25"/>
      <c r="J13" s="25"/>
      <c r="K13" s="26"/>
    </row>
    <row r="14" spans="1:11" s="3" customFormat="1" ht="10.5" customHeight="1" x14ac:dyDescent="0.25">
      <c r="A14" s="97"/>
      <c r="B14" s="98"/>
      <c r="C14" s="27"/>
      <c r="D14" s="27"/>
      <c r="E14" s="27"/>
      <c r="F14" s="27"/>
      <c r="G14" s="27"/>
      <c r="H14" s="98"/>
      <c r="I14" s="98"/>
      <c r="J14" s="98"/>
      <c r="K14" s="99"/>
    </row>
    <row r="15" spans="1:11" s="3" customFormat="1" ht="10.5" customHeight="1" x14ac:dyDescent="0.25">
      <c r="A15" s="97"/>
      <c r="B15" s="98"/>
      <c r="C15" s="27"/>
      <c r="D15" s="27"/>
      <c r="E15" s="27"/>
      <c r="F15" s="27"/>
      <c r="G15" s="27"/>
      <c r="H15" s="98"/>
      <c r="I15" s="98"/>
      <c r="J15" s="98"/>
      <c r="K15" s="99"/>
    </row>
    <row r="16" spans="1:11" s="3" customFormat="1" ht="11.25" customHeight="1" x14ac:dyDescent="0.2">
      <c r="A16" s="30" t="s">
        <v>12</v>
      </c>
      <c r="K16" s="6"/>
    </row>
    <row r="17" spans="1:11" s="3" customFormat="1" ht="11.25" customHeight="1" x14ac:dyDescent="0.2">
      <c r="A17" s="30"/>
      <c r="K17" s="6"/>
    </row>
    <row r="18" spans="1:11" s="3" customFormat="1" ht="11.25" customHeight="1" x14ac:dyDescent="0.2">
      <c r="A18" s="28"/>
      <c r="K18" s="6"/>
    </row>
    <row r="19" spans="1:11" s="3" customFormat="1" ht="11.25" customHeight="1" x14ac:dyDescent="0.2">
      <c r="A19" s="40" t="s">
        <v>13</v>
      </c>
      <c r="C19" s="311" t="s">
        <v>14</v>
      </c>
      <c r="D19" s="311"/>
      <c r="E19" s="32">
        <v>3</v>
      </c>
      <c r="F19" s="33" t="s">
        <v>2</v>
      </c>
      <c r="G19" s="362" t="s">
        <v>15</v>
      </c>
      <c r="H19" s="362"/>
      <c r="I19" s="34">
        <v>7.3</v>
      </c>
      <c r="J19" s="322" t="s">
        <v>16</v>
      </c>
      <c r="K19" s="206">
        <v>4</v>
      </c>
    </row>
    <row r="20" spans="1:11" s="3" customFormat="1" ht="11.25" customHeight="1" x14ac:dyDescent="0.2">
      <c r="A20" s="29"/>
      <c r="C20" s="322" t="s">
        <v>17</v>
      </c>
      <c r="D20" s="322"/>
      <c r="E20" s="32">
        <v>2.97</v>
      </c>
      <c r="F20" s="33" t="s">
        <v>2</v>
      </c>
      <c r="G20" s="363" t="s">
        <v>18</v>
      </c>
      <c r="H20" s="363"/>
      <c r="I20" s="173">
        <f>I19*2</f>
        <v>14.6</v>
      </c>
      <c r="J20" s="322"/>
      <c r="K20" s="174" t="s">
        <v>19</v>
      </c>
    </row>
    <row r="21" spans="1:11" s="3" customFormat="1" ht="11.25" customHeight="1" x14ac:dyDescent="0.2">
      <c r="A21" s="29"/>
      <c r="B21" s="206" t="s">
        <v>20</v>
      </c>
      <c r="C21" s="322" t="s">
        <v>21</v>
      </c>
      <c r="D21" s="322"/>
      <c r="E21" s="37">
        <v>3</v>
      </c>
      <c r="F21" s="33" t="s">
        <v>2</v>
      </c>
      <c r="G21" s="171" t="s">
        <v>22</v>
      </c>
      <c r="H21" s="172">
        <f>E21/E19</f>
        <v>1</v>
      </c>
      <c r="I21" s="318" t="s">
        <v>156</v>
      </c>
      <c r="J21" s="318"/>
      <c r="K21" s="319"/>
    </row>
    <row r="22" spans="1:11" s="3" customFormat="1" ht="11.25" customHeight="1" x14ac:dyDescent="0.2">
      <c r="A22" s="29"/>
      <c r="K22" s="6"/>
    </row>
    <row r="23" spans="1:11" s="3" customFormat="1" ht="11.25" customHeight="1" x14ac:dyDescent="0.2">
      <c r="A23" s="29"/>
      <c r="K23" s="6"/>
    </row>
    <row r="24" spans="1:11" s="3" customFormat="1" ht="11.25" customHeight="1" x14ac:dyDescent="0.2">
      <c r="A24" s="28" t="s">
        <v>23</v>
      </c>
      <c r="K24" s="6"/>
    </row>
    <row r="25" spans="1:11" s="3" customFormat="1" ht="11.25" customHeight="1" x14ac:dyDescent="0.2">
      <c r="A25" s="28"/>
      <c r="K25" s="6"/>
    </row>
    <row r="26" spans="1:11" s="3" customFormat="1" ht="11.25" customHeight="1" x14ac:dyDescent="0.2">
      <c r="A26" s="28"/>
      <c r="K26" s="6"/>
    </row>
    <row r="27" spans="1:11" s="3" customFormat="1" ht="11.25" customHeight="1" x14ac:dyDescent="0.2">
      <c r="A27" s="41" t="s">
        <v>24</v>
      </c>
      <c r="B27" s="4" t="s">
        <v>25</v>
      </c>
      <c r="C27" s="4"/>
      <c r="G27" s="223"/>
      <c r="H27" s="224"/>
      <c r="I27" s="165"/>
      <c r="K27" s="6"/>
    </row>
    <row r="28" spans="1:11" s="3" customFormat="1" ht="11.25" customHeight="1" x14ac:dyDescent="0.2">
      <c r="A28" s="139"/>
      <c r="B28" s="4"/>
      <c r="C28" s="4"/>
      <c r="G28" s="127"/>
      <c r="H28" s="138"/>
      <c r="I28" s="165"/>
      <c r="K28" s="6"/>
    </row>
    <row r="29" spans="1:11" s="3" customFormat="1" ht="11.25" customHeight="1" x14ac:dyDescent="0.2">
      <c r="A29" s="139"/>
      <c r="B29" s="4"/>
      <c r="C29" s="4"/>
      <c r="K29" s="6"/>
    </row>
    <row r="30" spans="1:11" s="3" customFormat="1" ht="11.25" customHeight="1" x14ac:dyDescent="0.2">
      <c r="A30" s="30" t="s">
        <v>26</v>
      </c>
      <c r="B30" s="127"/>
      <c r="C30" s="138"/>
      <c r="D30" s="33"/>
      <c r="E30" s="38"/>
      <c r="G30" s="33"/>
      <c r="H30" s="33"/>
      <c r="I30" s="33"/>
      <c r="J30" s="33"/>
      <c r="K30" s="6"/>
    </row>
    <row r="31" spans="1:11" s="3" customFormat="1" ht="11.25" customHeight="1" x14ac:dyDescent="0.2">
      <c r="A31" s="30"/>
      <c r="B31" s="127"/>
      <c r="C31" s="138"/>
      <c r="D31" s="33"/>
      <c r="E31" s="38"/>
      <c r="G31" s="33"/>
      <c r="H31" s="33"/>
      <c r="I31" s="33"/>
      <c r="J31" s="33"/>
      <c r="K31" s="6"/>
    </row>
    <row r="32" spans="1:11" s="3" customFormat="1" ht="11.25" customHeight="1" x14ac:dyDescent="0.2">
      <c r="A32" s="29"/>
      <c r="B32" s="127"/>
      <c r="C32" s="138"/>
      <c r="D32" s="33"/>
      <c r="E32" s="38"/>
      <c r="G32" s="33"/>
      <c r="H32" s="33"/>
      <c r="I32" s="33"/>
      <c r="J32" s="33"/>
      <c r="K32" s="6"/>
    </row>
    <row r="33" spans="1:11" s="3" customFormat="1" ht="11.25" customHeight="1" x14ac:dyDescent="0.2">
      <c r="A33" s="39"/>
      <c r="C33" s="40" t="s">
        <v>27</v>
      </c>
      <c r="D33" s="40" t="s">
        <v>28</v>
      </c>
      <c r="E33" s="41" t="s">
        <v>29</v>
      </c>
      <c r="G33" s="44"/>
      <c r="K33" s="6"/>
    </row>
    <row r="34" spans="1:11" s="3" customFormat="1" ht="11.25" customHeight="1" x14ac:dyDescent="0.2">
      <c r="A34" s="39"/>
      <c r="C34" s="42">
        <f>E21</f>
        <v>3</v>
      </c>
      <c r="D34" s="42">
        <v>2.97</v>
      </c>
      <c r="E34" s="42">
        <f>F10/1000</f>
        <v>0.19</v>
      </c>
      <c r="K34" s="6"/>
    </row>
    <row r="35" spans="1:11" s="3" customFormat="1" ht="11.25" customHeight="1" x14ac:dyDescent="0.2">
      <c r="A35" s="29"/>
      <c r="C35" s="40" t="s">
        <v>30</v>
      </c>
      <c r="D35" s="40" t="s">
        <v>31</v>
      </c>
      <c r="E35" s="41" t="s">
        <v>32</v>
      </c>
      <c r="F35" s="4"/>
      <c r="G35" s="163"/>
      <c r="K35" s="6"/>
    </row>
    <row r="36" spans="1:11" s="3" customFormat="1" ht="11.25" customHeight="1" x14ac:dyDescent="0.2">
      <c r="A36" s="29"/>
      <c r="C36" s="43">
        <f>C34/0.0254</f>
        <v>118.11023622047244</v>
      </c>
      <c r="D36" s="43">
        <f>D34/0.0254</f>
        <v>116.92913385826773</v>
      </c>
      <c r="E36" s="43">
        <f>E34/0.0254</f>
        <v>7.4803149606299213</v>
      </c>
      <c r="K36" s="6"/>
    </row>
    <row r="37" spans="1:11" s="3" customFormat="1" ht="11.25" customHeight="1" x14ac:dyDescent="0.2">
      <c r="A37" s="29"/>
      <c r="K37" s="6"/>
    </row>
    <row r="38" spans="1:11" s="3" customFormat="1" ht="11.25" customHeight="1" x14ac:dyDescent="0.2">
      <c r="A38" s="52"/>
      <c r="D38" s="25"/>
      <c r="E38" s="25"/>
      <c r="F38" s="25"/>
      <c r="G38" s="25"/>
      <c r="H38" s="44"/>
      <c r="I38" s="47"/>
      <c r="J38" s="44"/>
      <c r="K38" s="6"/>
    </row>
    <row r="39" spans="1:11" s="3" customFormat="1" ht="10.5" customHeight="1" x14ac:dyDescent="0.2">
      <c r="A39" s="29"/>
      <c r="B39" s="44"/>
      <c r="I39" s="47"/>
      <c r="J39" s="44"/>
      <c r="K39" s="6"/>
    </row>
    <row r="40" spans="1:11" s="3" customFormat="1" ht="10.5" customHeight="1" x14ac:dyDescent="0.2">
      <c r="A40" s="29"/>
      <c r="I40" s="47"/>
      <c r="J40" s="44"/>
      <c r="K40" s="6"/>
    </row>
    <row r="41" spans="1:11" s="3" customFormat="1" ht="10.5" customHeight="1" x14ac:dyDescent="0.2">
      <c r="A41" s="29"/>
      <c r="I41" s="47"/>
      <c r="J41" s="44"/>
      <c r="K41" s="6"/>
    </row>
    <row r="42" spans="1:11" s="3" customFormat="1" ht="15" customHeight="1" x14ac:dyDescent="0.2">
      <c r="A42" s="29"/>
      <c r="I42" s="47"/>
      <c r="J42" s="44"/>
      <c r="K42" s="6"/>
    </row>
    <row r="43" spans="1:11" s="3" customFormat="1" ht="15" customHeight="1" x14ac:dyDescent="0.2">
      <c r="A43" s="29"/>
      <c r="B43" s="164"/>
      <c r="H43" s="142"/>
      <c r="I43" s="47"/>
      <c r="J43" s="163"/>
      <c r="K43" s="6"/>
    </row>
    <row r="44" spans="1:11" s="3" customFormat="1" ht="10.5" customHeight="1" x14ac:dyDescent="0.2">
      <c r="A44" s="29"/>
      <c r="I44" s="47"/>
      <c r="J44" s="44"/>
      <c r="K44" s="6"/>
    </row>
    <row r="45" spans="1:11" s="3" customFormat="1" ht="10.5" customHeight="1" x14ac:dyDescent="0.2">
      <c r="A45" s="113"/>
      <c r="B45" s="114"/>
      <c r="C45" s="114"/>
      <c r="D45" s="114"/>
      <c r="E45" s="114"/>
      <c r="F45" s="114"/>
      <c r="G45" s="114"/>
      <c r="H45" s="114"/>
      <c r="I45" s="57"/>
      <c r="J45" s="154"/>
      <c r="K45" s="115"/>
    </row>
    <row r="46" spans="1:11" s="33" customFormat="1" ht="11.25" customHeight="1" x14ac:dyDescent="0.2">
      <c r="A46" s="155" t="s">
        <v>33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41"/>
    </row>
    <row r="47" spans="1:11" s="33" customFormat="1" ht="11.25" customHeight="1" x14ac:dyDescent="0.2">
      <c r="A47" s="28"/>
      <c r="K47" s="53"/>
    </row>
    <row r="48" spans="1:11" s="33" customFormat="1" ht="11.25" customHeight="1" x14ac:dyDescent="0.2">
      <c r="A48" s="54"/>
      <c r="K48" s="53"/>
    </row>
    <row r="49" spans="1:11" s="33" customFormat="1" ht="11.25" customHeight="1" x14ac:dyDescent="0.2">
      <c r="A49" s="52" t="s">
        <v>34</v>
      </c>
      <c r="K49" s="53"/>
    </row>
    <row r="50" spans="1:11" s="33" customFormat="1" ht="11.25" customHeight="1" x14ac:dyDescent="0.2">
      <c r="A50" s="52"/>
      <c r="K50" s="53"/>
    </row>
    <row r="51" spans="1:11" s="33" customFormat="1" ht="11.25" customHeight="1" x14ac:dyDescent="0.2">
      <c r="A51" s="54"/>
      <c r="K51" s="53"/>
    </row>
    <row r="52" spans="1:11" s="33" customFormat="1" ht="11.25" customHeight="1" x14ac:dyDescent="0.2">
      <c r="A52" s="206" t="s">
        <v>35</v>
      </c>
      <c r="B52" s="206" t="s">
        <v>36</v>
      </c>
      <c r="C52" s="206">
        <v>4200</v>
      </c>
      <c r="D52" s="66" t="s">
        <v>3</v>
      </c>
      <c r="E52" s="206">
        <f>C52/0.07</f>
        <v>59999.999999999993</v>
      </c>
      <c r="F52" s="66" t="s">
        <v>37</v>
      </c>
      <c r="K52" s="53"/>
    </row>
    <row r="53" spans="1:11" s="33" customFormat="1" ht="11.25" customHeight="1" x14ac:dyDescent="0.2">
      <c r="A53" s="206" t="s">
        <v>38</v>
      </c>
      <c r="B53" s="61" t="s">
        <v>39</v>
      </c>
      <c r="C53" s="206">
        <v>12.7</v>
      </c>
      <c r="D53" s="66" t="s">
        <v>40</v>
      </c>
      <c r="E53" s="62">
        <f>C53/25.4</f>
        <v>0.5</v>
      </c>
      <c r="F53" s="66" t="s">
        <v>41</v>
      </c>
      <c r="K53" s="53"/>
    </row>
    <row r="54" spans="1:11" s="33" customFormat="1" ht="11.25" customHeight="1" x14ac:dyDescent="0.2">
      <c r="A54" s="315" t="s">
        <v>42</v>
      </c>
      <c r="B54" s="317"/>
      <c r="C54" s="206" t="s">
        <v>43</v>
      </c>
      <c r="K54" s="53"/>
    </row>
    <row r="55" spans="1:11" s="33" customFormat="1" ht="11.25" customHeight="1" x14ac:dyDescent="0.2">
      <c r="A55" s="48"/>
      <c r="B55" s="63"/>
      <c r="K55" s="53"/>
    </row>
    <row r="56" spans="1:11" s="33" customFormat="1" ht="11.25" customHeight="1" x14ac:dyDescent="0.2">
      <c r="A56" s="70" t="s">
        <v>44</v>
      </c>
      <c r="K56" s="53"/>
    </row>
    <row r="57" spans="1:11" s="33" customFormat="1" ht="11.25" customHeight="1" x14ac:dyDescent="0.2">
      <c r="A57" s="315" t="s">
        <v>45</v>
      </c>
      <c r="B57" s="316"/>
      <c r="C57" s="317"/>
      <c r="D57" s="313" t="s">
        <v>13</v>
      </c>
      <c r="E57" s="314"/>
      <c r="K57" s="53"/>
    </row>
    <row r="58" spans="1:11" s="33" customFormat="1" ht="11.25" customHeight="1" x14ac:dyDescent="0.2">
      <c r="A58" s="315" t="s">
        <v>46</v>
      </c>
      <c r="B58" s="316"/>
      <c r="C58" s="317"/>
      <c r="D58" s="193" t="s">
        <v>157</v>
      </c>
      <c r="E58" s="194"/>
      <c r="F58" s="195"/>
      <c r="G58" s="201"/>
      <c r="K58" s="53"/>
    </row>
    <row r="59" spans="1:11" s="33" customFormat="1" ht="11.25" customHeight="1" x14ac:dyDescent="0.2">
      <c r="A59" s="315" t="s">
        <v>47</v>
      </c>
      <c r="B59" s="316"/>
      <c r="C59" s="317"/>
      <c r="D59" s="326" t="s">
        <v>48</v>
      </c>
      <c r="E59" s="327"/>
      <c r="F59" s="327"/>
      <c r="G59" s="328"/>
      <c r="K59" s="53"/>
    </row>
    <row r="60" spans="1:11" s="33" customFormat="1" ht="11.25" customHeight="1" x14ac:dyDescent="0.2">
      <c r="A60" s="54"/>
      <c r="K60" s="53"/>
    </row>
    <row r="61" spans="1:11" s="33" customFormat="1" ht="11.25" customHeight="1" x14ac:dyDescent="0.2">
      <c r="A61" s="54"/>
      <c r="K61" s="53"/>
    </row>
    <row r="62" spans="1:11" s="33" customFormat="1" ht="11.25" customHeight="1" x14ac:dyDescent="0.2">
      <c r="A62" s="70" t="s">
        <v>49</v>
      </c>
      <c r="B62" s="64"/>
      <c r="E62" s="65"/>
      <c r="K62" s="53"/>
    </row>
    <row r="63" spans="1:11" s="33" customFormat="1" ht="11.25" customHeight="1" x14ac:dyDescent="0.2">
      <c r="A63" s="206" t="s">
        <v>50</v>
      </c>
      <c r="B63" s="206" t="s">
        <v>51</v>
      </c>
      <c r="C63" s="128">
        <f>($D$34-0.2)</f>
        <v>2.77</v>
      </c>
      <c r="D63" s="66" t="s">
        <v>52</v>
      </c>
      <c r="E63" s="66"/>
      <c r="K63" s="53"/>
    </row>
    <row r="64" spans="1:11" s="33" customFormat="1" ht="11.25" customHeight="1" x14ac:dyDescent="0.2">
      <c r="A64" s="67" t="s">
        <v>53</v>
      </c>
      <c r="B64" s="67" t="s">
        <v>54</v>
      </c>
      <c r="C64" s="206">
        <v>0.2</v>
      </c>
      <c r="D64" s="66" t="s">
        <v>52</v>
      </c>
      <c r="K64" s="53"/>
    </row>
    <row r="65" spans="1:11" s="33" customFormat="1" ht="11.25" customHeight="1" x14ac:dyDescent="0.2">
      <c r="A65" s="207" t="s">
        <v>55</v>
      </c>
      <c r="B65" s="179">
        <f>($C$34)/($C$64)</f>
        <v>15</v>
      </c>
      <c r="C65" s="68"/>
      <c r="K65" s="53"/>
    </row>
    <row r="66" spans="1:11" s="33" customFormat="1" ht="11.25" customHeight="1" x14ac:dyDescent="0.2">
      <c r="A66" s="93"/>
      <c r="B66" s="177"/>
      <c r="C66" s="178"/>
      <c r="K66" s="53"/>
    </row>
    <row r="67" spans="1:11" s="33" customFormat="1" ht="11.25" customHeight="1" x14ac:dyDescent="0.2">
      <c r="A67" s="54"/>
      <c r="K67" s="53"/>
    </row>
    <row r="68" spans="1:11" s="33" customFormat="1" ht="11.25" customHeight="1" x14ac:dyDescent="0.2">
      <c r="A68" s="70" t="s">
        <v>56</v>
      </c>
      <c r="B68" s="64"/>
      <c r="E68" s="65"/>
      <c r="K68" s="53"/>
    </row>
    <row r="69" spans="1:11" s="33" customFormat="1" ht="11.25" customHeight="1" x14ac:dyDescent="0.2">
      <c r="A69" s="206" t="s">
        <v>50</v>
      </c>
      <c r="B69" s="206" t="s">
        <v>51</v>
      </c>
      <c r="C69" s="128">
        <f>($C$34-0.2)</f>
        <v>2.8</v>
      </c>
      <c r="D69" s="66" t="s">
        <v>52</v>
      </c>
      <c r="E69" s="66"/>
      <c r="K69" s="53"/>
    </row>
    <row r="70" spans="1:11" s="33" customFormat="1" ht="11.25" customHeight="1" x14ac:dyDescent="0.2">
      <c r="A70" s="67" t="s">
        <v>53</v>
      </c>
      <c r="B70" s="67" t="s">
        <v>54</v>
      </c>
      <c r="C70" s="206">
        <v>0.2</v>
      </c>
      <c r="D70" s="66" t="s">
        <v>52</v>
      </c>
      <c r="K70" s="53"/>
    </row>
    <row r="71" spans="1:11" s="33" customFormat="1" ht="11.25" customHeight="1" x14ac:dyDescent="0.2">
      <c r="A71" s="207" t="s">
        <v>55</v>
      </c>
      <c r="B71" s="179">
        <f>($D$34)/($C$70)</f>
        <v>14.85</v>
      </c>
      <c r="C71" s="68"/>
      <c r="K71" s="53"/>
    </row>
    <row r="72" spans="1:11" s="33" customFormat="1" ht="11.25" customHeight="1" x14ac:dyDescent="0.2">
      <c r="A72" s="54"/>
      <c r="D72" s="162"/>
      <c r="E72" s="162"/>
      <c r="F72" s="162"/>
      <c r="G72" s="162"/>
      <c r="H72" s="47"/>
      <c r="I72" s="47"/>
      <c r="J72" s="332"/>
      <c r="K72" s="333"/>
    </row>
    <row r="73" spans="1:11" s="33" customFormat="1" ht="11.25" customHeight="1" x14ac:dyDescent="0.2">
      <c r="A73" s="54"/>
      <c r="I73" s="47"/>
      <c r="K73" s="53"/>
    </row>
    <row r="74" spans="1:11" s="33" customFormat="1" ht="11.25" customHeight="1" x14ac:dyDescent="0.2">
      <c r="A74" s="54"/>
      <c r="K74" s="53"/>
    </row>
    <row r="75" spans="1:11" s="33" customFormat="1" ht="11.25" customHeight="1" x14ac:dyDescent="0.25">
      <c r="A75" s="93"/>
      <c r="B75"/>
      <c r="C75"/>
      <c r="D75"/>
      <c r="E75"/>
      <c r="F75"/>
      <c r="G75" s="3"/>
      <c r="H75" s="3"/>
      <c r="I75" s="3"/>
      <c r="J75" s="3"/>
      <c r="K75" s="204"/>
    </row>
    <row r="76" spans="1:11" s="33" customFormat="1" ht="11.25" customHeight="1" x14ac:dyDescent="0.2">
      <c r="A76" s="54"/>
      <c r="D76" s="44"/>
      <c r="I76" s="44"/>
      <c r="K76" s="53"/>
    </row>
    <row r="77" spans="1:11" s="33" customFormat="1" ht="11.25" customHeight="1" x14ac:dyDescent="0.2">
      <c r="A77" s="186"/>
      <c r="B77" s="4"/>
      <c r="K77" s="53"/>
    </row>
    <row r="78" spans="1:11" s="33" customFormat="1" ht="11.25" customHeight="1" x14ac:dyDescent="0.2">
      <c r="A78" s="186"/>
      <c r="B78" s="162"/>
      <c r="C78" s="162"/>
      <c r="D78" s="162"/>
      <c r="E78" s="162"/>
      <c r="F78" s="162"/>
      <c r="G78" s="47"/>
      <c r="H78" s="47"/>
      <c r="J78" s="47"/>
      <c r="K78" s="46"/>
    </row>
    <row r="79" spans="1:11" s="33" customFormat="1" ht="11.25" customHeight="1" x14ac:dyDescent="0.2">
      <c r="A79" s="54"/>
      <c r="D79" s="162"/>
      <c r="E79" s="162"/>
      <c r="F79" s="162"/>
      <c r="G79" s="162"/>
      <c r="H79" s="162"/>
      <c r="K79" s="53"/>
    </row>
    <row r="80" spans="1:11" s="33" customFormat="1" ht="11.25" customHeight="1" x14ac:dyDescent="0.2">
      <c r="A80" s="54"/>
      <c r="B80" s="175"/>
      <c r="C80" s="175"/>
      <c r="D80" s="175"/>
      <c r="E80" s="175"/>
      <c r="F80" s="175"/>
      <c r="H80" s="176"/>
      <c r="I80" s="176"/>
      <c r="J80" s="176"/>
      <c r="K80" s="53"/>
    </row>
    <row r="81" spans="1:11" s="33" customFormat="1" ht="11.25" customHeight="1" x14ac:dyDescent="0.2">
      <c r="A81" s="54"/>
      <c r="K81" s="53"/>
    </row>
    <row r="82" spans="1:11" s="33" customFormat="1" ht="11.25" customHeight="1" x14ac:dyDescent="0.2">
      <c r="A82" s="54"/>
      <c r="E82" s="59"/>
      <c r="F82" s="142"/>
      <c r="G82" s="44"/>
      <c r="K82" s="53"/>
    </row>
    <row r="83" spans="1:11" s="33" customFormat="1" ht="11.25" customHeight="1" x14ac:dyDescent="0.2">
      <c r="A83" s="54"/>
      <c r="E83" s="59"/>
      <c r="F83" s="44"/>
      <c r="G83" s="44"/>
      <c r="K83" s="53"/>
    </row>
    <row r="84" spans="1:11" s="33" customFormat="1" ht="11.25" customHeight="1" x14ac:dyDescent="0.2">
      <c r="A84" s="54"/>
      <c r="E84" s="59"/>
      <c r="F84" s="44"/>
      <c r="G84" s="44"/>
      <c r="K84" s="53"/>
    </row>
    <row r="85" spans="1:11" s="33" customFormat="1" ht="11.25" customHeight="1" x14ac:dyDescent="0.2">
      <c r="A85" s="54"/>
      <c r="E85" s="59"/>
      <c r="F85" s="44"/>
      <c r="G85" s="63"/>
      <c r="H85" s="45"/>
      <c r="K85" s="53"/>
    </row>
    <row r="86" spans="1:11" s="33" customFormat="1" ht="11.25" customHeight="1" x14ac:dyDescent="0.2">
      <c r="A86" s="54"/>
      <c r="E86" s="59"/>
      <c r="F86" s="44"/>
      <c r="G86" s="63"/>
      <c r="H86" s="45"/>
      <c r="K86" s="53"/>
    </row>
    <row r="87" spans="1:11" s="33" customFormat="1" ht="11.25" customHeight="1" x14ac:dyDescent="0.2">
      <c r="A87" s="54"/>
      <c r="E87" s="59"/>
      <c r="F87" s="44"/>
      <c r="G87" s="63"/>
      <c r="H87" s="45"/>
      <c r="K87" s="53"/>
    </row>
    <row r="88" spans="1:11" s="33" customFormat="1" ht="11.25" customHeight="1" x14ac:dyDescent="0.2">
      <c r="A88" s="54"/>
      <c r="E88" s="59"/>
      <c r="F88" s="44"/>
      <c r="G88" s="63"/>
      <c r="H88" s="45"/>
      <c r="K88" s="53"/>
    </row>
    <row r="89" spans="1:11" s="33" customFormat="1" ht="11.25" customHeight="1" x14ac:dyDescent="0.2">
      <c r="A89" s="54"/>
      <c r="E89" s="59"/>
      <c r="F89" s="44"/>
      <c r="G89" s="63"/>
      <c r="H89" s="45"/>
      <c r="K89" s="53"/>
    </row>
    <row r="90" spans="1:11" s="33" customFormat="1" ht="11.25" customHeight="1" x14ac:dyDescent="0.2">
      <c r="A90" s="54"/>
      <c r="E90" s="59"/>
      <c r="F90" s="44"/>
      <c r="G90" s="63"/>
      <c r="H90" s="45"/>
      <c r="K90" s="53"/>
    </row>
    <row r="91" spans="1:11" s="33" customFormat="1" ht="11.25" customHeight="1" x14ac:dyDescent="0.2">
      <c r="A91" s="54"/>
      <c r="E91" s="59"/>
      <c r="F91" s="44"/>
      <c r="G91" s="63"/>
      <c r="H91" s="45"/>
      <c r="K91" s="53"/>
    </row>
    <row r="92" spans="1:11" s="33" customFormat="1" ht="11.25" customHeight="1" x14ac:dyDescent="0.2">
      <c r="A92" s="54"/>
      <c r="E92" s="59"/>
      <c r="F92" s="44"/>
      <c r="G92" s="63"/>
      <c r="H92" s="45"/>
      <c r="K92" s="53"/>
    </row>
    <row r="93" spans="1:11" s="33" customFormat="1" ht="11.25" customHeight="1" x14ac:dyDescent="0.2">
      <c r="A93" s="54"/>
      <c r="E93" s="59"/>
      <c r="F93" s="44"/>
      <c r="G93" s="63"/>
      <c r="H93" s="45"/>
      <c r="K93" s="53"/>
    </row>
    <row r="94" spans="1:11" s="33" customFormat="1" ht="11.25" customHeight="1" x14ac:dyDescent="0.2">
      <c r="A94" s="54"/>
      <c r="E94" s="59"/>
      <c r="F94" s="44"/>
      <c r="G94" s="44"/>
      <c r="K94" s="53"/>
    </row>
    <row r="95" spans="1:11" s="33" customFormat="1" ht="11.25" customHeight="1" x14ac:dyDescent="0.2">
      <c r="A95" s="54"/>
      <c r="E95" s="59"/>
      <c r="F95" s="44"/>
      <c r="G95" s="44"/>
      <c r="K95" s="53"/>
    </row>
    <row r="96" spans="1:11" s="33" customFormat="1" ht="11.25" customHeight="1" x14ac:dyDescent="0.2">
      <c r="A96" s="145"/>
      <c r="B96" s="56"/>
      <c r="C96" s="56"/>
      <c r="D96" s="56"/>
      <c r="E96" s="187"/>
      <c r="F96" s="154"/>
      <c r="G96" s="188"/>
      <c r="H96" s="56"/>
      <c r="I96" s="56"/>
      <c r="J96" s="56"/>
      <c r="K96" s="58"/>
    </row>
    <row r="97" spans="1:11" s="33" customFormat="1" ht="11.25" customHeight="1" x14ac:dyDescent="0.2">
      <c r="A97" s="158" t="s">
        <v>57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41"/>
    </row>
    <row r="98" spans="1:11" s="33" customFormat="1" ht="11.25" customHeight="1" x14ac:dyDescent="0.2">
      <c r="A98" s="52"/>
      <c r="K98" s="53"/>
    </row>
    <row r="99" spans="1:11" s="33" customFormat="1" ht="11.25" customHeight="1" x14ac:dyDescent="0.2">
      <c r="A99" s="52"/>
      <c r="K99" s="53"/>
    </row>
    <row r="100" spans="1:11" s="33" customFormat="1" ht="11.25" customHeight="1" x14ac:dyDescent="0.2">
      <c r="A100" s="52" t="s">
        <v>58</v>
      </c>
      <c r="K100" s="53"/>
    </row>
    <row r="101" spans="1:11" s="33" customFormat="1" ht="11.25" customHeight="1" x14ac:dyDescent="0.2">
      <c r="A101" s="52"/>
      <c r="K101" s="53"/>
    </row>
    <row r="102" spans="1:11" s="33" customFormat="1" ht="11.25" customHeight="1" x14ac:dyDescent="0.2">
      <c r="A102" s="70"/>
      <c r="K102" s="53"/>
    </row>
    <row r="103" spans="1:11" s="33" customFormat="1" ht="15" customHeight="1" x14ac:dyDescent="0.35">
      <c r="A103" s="54"/>
      <c r="B103" s="345" t="s">
        <v>59</v>
      </c>
      <c r="C103" s="345"/>
      <c r="D103" s="345"/>
      <c r="E103" s="345"/>
      <c r="F103" s="63" t="s">
        <v>60</v>
      </c>
      <c r="K103" s="53"/>
    </row>
    <row r="104" spans="1:11" s="33" customFormat="1" ht="11.25" customHeight="1" x14ac:dyDescent="0.2">
      <c r="A104" s="54"/>
      <c r="B104" s="71"/>
      <c r="C104" s="71"/>
      <c r="D104" s="71"/>
      <c r="K104" s="53"/>
    </row>
    <row r="105" spans="1:11" s="33" customFormat="1" ht="15" customHeight="1" x14ac:dyDescent="0.35">
      <c r="A105" s="54"/>
      <c r="B105" s="346" t="s">
        <v>61</v>
      </c>
      <c r="C105" s="346"/>
      <c r="D105" s="346"/>
      <c r="E105" s="346"/>
      <c r="F105" s="63" t="s">
        <v>62</v>
      </c>
      <c r="K105" s="53"/>
    </row>
    <row r="106" spans="1:11" s="33" customFormat="1" ht="11.25" customHeight="1" x14ac:dyDescent="0.25">
      <c r="A106" s="54"/>
      <c r="B106" s="73"/>
      <c r="C106" s="73"/>
      <c r="D106" s="73"/>
      <c r="E106" s="63"/>
      <c r="K106" s="53"/>
    </row>
    <row r="107" spans="1:11" s="33" customFormat="1" ht="15" customHeight="1" x14ac:dyDescent="0.35">
      <c r="A107" s="54"/>
      <c r="B107" s="346" t="s">
        <v>63</v>
      </c>
      <c r="C107" s="346"/>
      <c r="D107" s="346"/>
      <c r="E107" s="47"/>
      <c r="F107" s="47" t="s">
        <v>64</v>
      </c>
      <c r="H107" s="74"/>
      <c r="K107" s="53"/>
    </row>
    <row r="108" spans="1:11" s="33" customFormat="1" ht="11.25" customHeight="1" x14ac:dyDescent="0.25">
      <c r="A108" s="54"/>
      <c r="B108" s="73"/>
      <c r="C108" s="73"/>
      <c r="D108" s="4"/>
      <c r="K108" s="53"/>
    </row>
    <row r="109" spans="1:11" s="33" customFormat="1" ht="18.75" customHeight="1" x14ac:dyDescent="0.2">
      <c r="A109" s="330" t="s">
        <v>65</v>
      </c>
      <c r="B109" s="331"/>
      <c r="C109" s="329" t="s">
        <v>66</v>
      </c>
      <c r="D109" s="329"/>
      <c r="E109" s="329"/>
      <c r="K109" s="53"/>
    </row>
    <row r="110" spans="1:11" s="33" customFormat="1" ht="11.25" customHeight="1" x14ac:dyDescent="0.2">
      <c r="A110" s="203"/>
      <c r="B110" s="45"/>
      <c r="C110" s="183"/>
      <c r="D110" s="183"/>
      <c r="E110" s="183"/>
      <c r="K110" s="53"/>
    </row>
    <row r="111" spans="1:11" s="3" customFormat="1" ht="11.25" customHeight="1" x14ac:dyDescent="0.2">
      <c r="A111" s="29" t="s">
        <v>67</v>
      </c>
      <c r="D111" s="184">
        <f>$C$36</f>
        <v>118.11023622047244</v>
      </c>
      <c r="E111" s="70" t="s">
        <v>68</v>
      </c>
      <c r="F111" s="75"/>
      <c r="G111" s="33"/>
      <c r="K111" s="6"/>
    </row>
    <row r="112" spans="1:11" s="3" customFormat="1" ht="11.25" customHeight="1" x14ac:dyDescent="0.2">
      <c r="A112" s="29" t="s">
        <v>69</v>
      </c>
      <c r="D112" s="184">
        <v>3674288</v>
      </c>
      <c r="E112" s="70" t="s">
        <v>70</v>
      </c>
      <c r="F112" s="77"/>
      <c r="G112" s="33"/>
      <c r="H112" s="33"/>
      <c r="I112" s="222"/>
      <c r="K112" s="6"/>
    </row>
    <row r="113" spans="1:11" s="3" customFormat="1" ht="11.25" customHeight="1" x14ac:dyDescent="0.2">
      <c r="A113" s="29" t="s">
        <v>71</v>
      </c>
      <c r="D113" s="78">
        <f>$E$36</f>
        <v>7.4803149606299213</v>
      </c>
      <c r="E113" s="70" t="s">
        <v>68</v>
      </c>
      <c r="F113" s="79"/>
      <c r="G113" s="33"/>
      <c r="K113" s="6"/>
    </row>
    <row r="114" spans="1:11" s="3" customFormat="1" ht="11.25" customHeight="1" x14ac:dyDescent="0.25">
      <c r="A114" s="80" t="s">
        <v>72</v>
      </c>
      <c r="D114" s="207">
        <v>0.15</v>
      </c>
      <c r="E114" s="130" t="s">
        <v>0</v>
      </c>
      <c r="F114" s="49"/>
      <c r="G114" s="81"/>
      <c r="K114" s="6"/>
    </row>
    <row r="115" spans="1:11" s="3" customFormat="1" ht="11.25" customHeight="1" x14ac:dyDescent="0.2">
      <c r="A115" s="29" t="s">
        <v>73</v>
      </c>
      <c r="D115" s="76">
        <v>135.55000000000001</v>
      </c>
      <c r="E115" s="131" t="s">
        <v>74</v>
      </c>
      <c r="F115" s="77"/>
      <c r="G115" s="7"/>
      <c r="K115" s="6"/>
    </row>
    <row r="116" spans="1:11" s="3" customFormat="1" ht="15" customHeight="1" x14ac:dyDescent="0.3">
      <c r="A116" s="29" t="s">
        <v>75</v>
      </c>
      <c r="D116" s="78">
        <f>(($D$112*$D$113^3)/(12*(1-$D$114^2)*$D$115))^0.25</f>
        <v>31.360561382197776</v>
      </c>
      <c r="E116" s="70" t="s">
        <v>68</v>
      </c>
      <c r="F116" s="75"/>
      <c r="G116" s="33"/>
      <c r="K116" s="6"/>
    </row>
    <row r="117" spans="1:11" s="3" customFormat="1" ht="11.25" customHeight="1" x14ac:dyDescent="0.2">
      <c r="A117" s="29"/>
      <c r="D117" s="83"/>
      <c r="K117" s="6"/>
    </row>
    <row r="118" spans="1:11" s="3" customFormat="1" ht="11.25" customHeight="1" x14ac:dyDescent="0.2">
      <c r="A118" s="29"/>
      <c r="D118" s="83"/>
      <c r="K118" s="6"/>
    </row>
    <row r="119" spans="1:11" s="33" customFormat="1" ht="11.25" customHeight="1" x14ac:dyDescent="0.2">
      <c r="A119" s="54"/>
      <c r="D119" s="323" t="s">
        <v>76</v>
      </c>
      <c r="E119" s="324"/>
      <c r="K119" s="53"/>
    </row>
    <row r="120" spans="1:11" s="33" customFormat="1" ht="16.5" customHeight="1" x14ac:dyDescent="0.3">
      <c r="A120" s="54"/>
      <c r="B120" s="148" t="s">
        <v>77</v>
      </c>
      <c r="C120" s="76">
        <f>$D$111/$D$116</f>
        <v>3.7662028680238877</v>
      </c>
      <c r="D120" s="110" t="s">
        <v>78</v>
      </c>
      <c r="E120" s="84">
        <v>0.5</v>
      </c>
      <c r="F120" s="86" t="s">
        <v>79</v>
      </c>
      <c r="G120" s="85">
        <v>6.0000000000000002E-6</v>
      </c>
      <c r="H120" s="207" t="s">
        <v>80</v>
      </c>
      <c r="I120" s="325" t="s">
        <v>81</v>
      </c>
      <c r="J120" s="325"/>
      <c r="K120" s="325"/>
    </row>
    <row r="121" spans="1:11" s="33" customFormat="1" ht="15" customHeight="1" x14ac:dyDescent="0.3">
      <c r="A121" s="54"/>
      <c r="B121" s="148" t="s">
        <v>82</v>
      </c>
      <c r="C121" s="76">
        <f>$D$36/$D$116</f>
        <v>3.7285408393436494</v>
      </c>
      <c r="D121" s="110" t="s">
        <v>83</v>
      </c>
      <c r="E121" s="207">
        <v>0.5</v>
      </c>
      <c r="F121" s="86" t="s">
        <v>84</v>
      </c>
      <c r="G121" s="87">
        <v>9</v>
      </c>
      <c r="H121" s="207" t="s">
        <v>85</v>
      </c>
      <c r="I121" s="325" t="s">
        <v>86</v>
      </c>
      <c r="J121" s="325"/>
      <c r="K121" s="325"/>
    </row>
    <row r="122" spans="1:11" s="33" customFormat="1" ht="11.25" customHeight="1" x14ac:dyDescent="0.2">
      <c r="A122" s="54"/>
      <c r="K122" s="53"/>
    </row>
    <row r="123" spans="1:11" s="33" customFormat="1" ht="18" customHeight="1" x14ac:dyDescent="0.25">
      <c r="A123" s="88"/>
      <c r="B123" s="89"/>
      <c r="C123" s="90"/>
      <c r="D123" s="91" t="s">
        <v>87</v>
      </c>
      <c r="E123" s="92">
        <f>((($D$112*$G$120*$G$121)/(2*(1-$D$114^2)))*($E$120+($D$114*$E$121)))*$E$36</f>
        <v>436.52379434923569</v>
      </c>
      <c r="F123" s="129" t="s">
        <v>88</v>
      </c>
      <c r="K123" s="53"/>
    </row>
    <row r="124" spans="1:11" s="33" customFormat="1" ht="11.25" customHeight="1" x14ac:dyDescent="0.2">
      <c r="A124" s="93"/>
      <c r="B124" s="49"/>
      <c r="D124" s="94"/>
      <c r="E124" s="95"/>
      <c r="F124" s="66"/>
      <c r="K124" s="53"/>
    </row>
    <row r="125" spans="1:11" s="33" customFormat="1" ht="18" customHeight="1" x14ac:dyDescent="0.25">
      <c r="A125" s="88"/>
      <c r="B125" s="89"/>
      <c r="C125" s="90"/>
      <c r="D125" s="91" t="s">
        <v>89</v>
      </c>
      <c r="E125" s="92">
        <f>((($D$112*$G$120*$G$121)/(2*(1-$D$114^2)))*($E$121+($D$114*$E$120)))*$E$36</f>
        <v>436.52379434923569</v>
      </c>
      <c r="F125" s="129" t="s">
        <v>88</v>
      </c>
      <c r="K125" s="53"/>
    </row>
    <row r="126" spans="1:11" s="33" customFormat="1" ht="11.25" customHeight="1" x14ac:dyDescent="0.2">
      <c r="A126" s="93"/>
      <c r="B126" s="49"/>
      <c r="D126" s="94"/>
      <c r="E126" s="95"/>
      <c r="F126" s="66"/>
      <c r="K126" s="53"/>
    </row>
    <row r="127" spans="1:11" s="33" customFormat="1" ht="18" customHeight="1" x14ac:dyDescent="0.2">
      <c r="A127" s="88"/>
      <c r="B127" s="89"/>
      <c r="D127" s="91" t="s">
        <v>90</v>
      </c>
      <c r="E127" s="92">
        <f>($E$120*$D$112*$G$120*$G$121/2)*$E$36</f>
        <v>371.04522519685042</v>
      </c>
      <c r="F127" s="129" t="s">
        <v>88</v>
      </c>
      <c r="K127" s="53"/>
    </row>
    <row r="128" spans="1:11" s="33" customFormat="1" ht="11.25" customHeight="1" x14ac:dyDescent="0.2">
      <c r="A128" s="54"/>
      <c r="D128" s="49"/>
      <c r="E128" s="96"/>
      <c r="F128" s="66"/>
      <c r="K128" s="53"/>
    </row>
    <row r="129" spans="1:11" s="33" customFormat="1" ht="18" customHeight="1" x14ac:dyDescent="0.2">
      <c r="A129" s="54"/>
      <c r="D129" s="91" t="s">
        <v>90</v>
      </c>
      <c r="E129" s="92">
        <f>($E$121*$D$112*$G$120*$G$121/2)*$E$36</f>
        <v>371.04522519685042</v>
      </c>
      <c r="F129" s="129" t="s">
        <v>88</v>
      </c>
      <c r="K129" s="53"/>
    </row>
    <row r="130" spans="1:11" s="33" customFormat="1" ht="11.25" customHeight="1" x14ac:dyDescent="0.2">
      <c r="A130" s="54"/>
      <c r="K130" s="53"/>
    </row>
    <row r="131" spans="1:11" s="33" customFormat="1" ht="11.25" customHeight="1" x14ac:dyDescent="0.2">
      <c r="A131" s="54"/>
      <c r="K131" s="53"/>
    </row>
    <row r="132" spans="1:11" ht="11.25" customHeight="1" x14ac:dyDescent="0.25">
      <c r="A132" s="52" t="s">
        <v>91</v>
      </c>
      <c r="K132" s="1"/>
    </row>
    <row r="133" spans="1:11" ht="11.25" customHeight="1" x14ac:dyDescent="0.25">
      <c r="A133" s="52"/>
      <c r="K133" s="1"/>
    </row>
    <row r="134" spans="1:11" ht="11.25" customHeight="1" x14ac:dyDescent="0.25">
      <c r="A134" s="52"/>
      <c r="K134" s="1"/>
    </row>
    <row r="135" spans="1:11" ht="21.75" x14ac:dyDescent="0.25">
      <c r="A135" s="100"/>
      <c r="B135" s="347" t="s">
        <v>92</v>
      </c>
      <c r="C135" s="347"/>
      <c r="D135" s="347"/>
      <c r="E135" s="347"/>
      <c r="F135" s="55" t="s">
        <v>93</v>
      </c>
      <c r="K135" s="1"/>
    </row>
    <row r="136" spans="1:11" s="3" customFormat="1" ht="11.25" customHeight="1" x14ac:dyDescent="0.2">
      <c r="A136" s="29"/>
      <c r="E136" s="4"/>
      <c r="K136" s="6"/>
    </row>
    <row r="137" spans="1:11" s="3" customFormat="1" ht="21.75" x14ac:dyDescent="0.2">
      <c r="A137" s="82"/>
      <c r="B137" s="347" t="s">
        <v>94</v>
      </c>
      <c r="C137" s="347"/>
      <c r="D137" s="347"/>
      <c r="E137" s="347"/>
      <c r="F137" s="55" t="s">
        <v>95</v>
      </c>
      <c r="K137" s="6"/>
    </row>
    <row r="138" spans="1:11" s="3" customFormat="1" ht="11.25" customHeight="1" x14ac:dyDescent="0.2">
      <c r="A138" s="29"/>
      <c r="K138" s="6"/>
    </row>
    <row r="139" spans="1:11" s="3" customFormat="1" ht="15" customHeight="1" x14ac:dyDescent="0.2">
      <c r="A139" s="189"/>
      <c r="B139" s="198"/>
      <c r="C139" s="121" t="s">
        <v>96</v>
      </c>
      <c r="D139" s="342" t="s">
        <v>97</v>
      </c>
      <c r="E139" s="343"/>
      <c r="F139" s="343"/>
      <c r="G139" s="343"/>
      <c r="H139" s="343"/>
      <c r="I139" s="190">
        <f>2.38*($D$148*$D$116)^0.5</f>
        <v>48.822467011902759</v>
      </c>
      <c r="J139" s="159" t="s">
        <v>68</v>
      </c>
      <c r="K139" s="115"/>
    </row>
    <row r="140" spans="1:11" s="3" customFormat="1" ht="35.25" customHeight="1" x14ac:dyDescent="0.2">
      <c r="A140" s="191"/>
      <c r="B140" s="50"/>
      <c r="C140" s="207" t="s">
        <v>98</v>
      </c>
      <c r="D140" s="76">
        <f>K140*2.205</f>
        <v>24255</v>
      </c>
      <c r="E140" s="356" t="s">
        <v>158</v>
      </c>
      <c r="F140" s="357"/>
      <c r="G140" s="357"/>
      <c r="H140" s="357"/>
      <c r="I140" s="358"/>
      <c r="J140" s="101" t="s">
        <v>99</v>
      </c>
      <c r="K140" s="207">
        <f>22*1000/2</f>
        <v>11000</v>
      </c>
    </row>
    <row r="141" spans="1:11" s="3" customFormat="1" ht="11.25" customHeight="1" x14ac:dyDescent="0.2">
      <c r="A141" s="29"/>
      <c r="K141" s="6"/>
    </row>
    <row r="142" spans="1:11" s="3" customFormat="1" ht="11.25" customHeight="1" x14ac:dyDescent="0.2">
      <c r="A142" s="29"/>
      <c r="B142" s="49"/>
      <c r="C142" s="102" t="s">
        <v>100</v>
      </c>
      <c r="D142" s="207">
        <v>80</v>
      </c>
      <c r="E142" s="4" t="s">
        <v>101</v>
      </c>
      <c r="K142" s="6"/>
    </row>
    <row r="143" spans="1:11" s="3" customFormat="1" ht="11.25" customHeight="1" x14ac:dyDescent="0.2">
      <c r="A143" s="29"/>
      <c r="K143" s="6"/>
    </row>
    <row r="144" spans="1:11" s="3" customFormat="1" ht="11.25" customHeight="1" x14ac:dyDescent="0.2">
      <c r="A144" s="29"/>
      <c r="C144" s="196" t="s">
        <v>102</v>
      </c>
      <c r="D144" s="84">
        <v>12.76</v>
      </c>
      <c r="E144" s="4" t="s">
        <v>103</v>
      </c>
      <c r="K144" s="6"/>
    </row>
    <row r="145" spans="1:12" s="3" customFormat="1" ht="11.25" customHeight="1" x14ac:dyDescent="0.2">
      <c r="A145" s="29"/>
      <c r="C145" s="104"/>
      <c r="D145" s="75"/>
      <c r="E145" s="4"/>
      <c r="K145" s="6"/>
    </row>
    <row r="146" spans="1:12" s="3" customFormat="1" ht="11.25" customHeight="1" x14ac:dyDescent="0.2">
      <c r="A146" s="29"/>
      <c r="C146" s="359" t="s">
        <v>104</v>
      </c>
      <c r="D146" s="359"/>
      <c r="E146" s="359"/>
      <c r="F146" s="359"/>
      <c r="G146" s="4" t="s">
        <v>105</v>
      </c>
      <c r="K146" s="6"/>
    </row>
    <row r="147" spans="1:12" s="3" customFormat="1" ht="11.25" customHeight="1" x14ac:dyDescent="0.2">
      <c r="A147" s="29"/>
      <c r="K147" s="6"/>
    </row>
    <row r="148" spans="1:12" s="3" customFormat="1" ht="11.25" customHeight="1" x14ac:dyDescent="0.2">
      <c r="A148" s="93"/>
      <c r="B148" s="44"/>
      <c r="C148" s="207" t="s">
        <v>1</v>
      </c>
      <c r="D148" s="105">
        <f>((0.8521*D140/(D142*3.1416))+(D144/3.1416)*(D140/(0.5227*D142))^0.5)^0.5</f>
        <v>13.418429811636141</v>
      </c>
      <c r="E148" s="69" t="s">
        <v>68</v>
      </c>
      <c r="K148" s="6"/>
      <c r="L148" s="4"/>
    </row>
    <row r="149" spans="1:12" s="3" customFormat="1" ht="11.25" customHeight="1" x14ac:dyDescent="0.2">
      <c r="A149" s="29"/>
      <c r="E149" s="66"/>
      <c r="K149" s="6"/>
    </row>
    <row r="150" spans="1:12" ht="18" customHeight="1" x14ac:dyDescent="0.25">
      <c r="A150" s="88"/>
      <c r="B150" s="89"/>
      <c r="C150" s="91" t="s">
        <v>106</v>
      </c>
      <c r="D150" s="106">
        <f>(3*$D$140/$E$36^2)*(1-($D$148*(2^0.5)/$D$116)^0.6)</f>
        <v>338.40095676076663</v>
      </c>
      <c r="E150" s="129" t="s">
        <v>88</v>
      </c>
      <c r="G150" s="107"/>
      <c r="H150" s="107"/>
      <c r="I150" s="107"/>
      <c r="K150" s="1"/>
    </row>
    <row r="151" spans="1:12" s="3" customFormat="1" ht="11.25" customHeight="1" x14ac:dyDescent="0.2">
      <c r="A151" s="54"/>
      <c r="B151" s="33"/>
      <c r="C151" s="33"/>
      <c r="D151" s="33"/>
      <c r="E151" s="63"/>
      <c r="K151" s="6"/>
    </row>
    <row r="152" spans="1:12" s="3" customFormat="1" ht="18" customHeight="1" x14ac:dyDescent="0.2">
      <c r="A152" s="93"/>
      <c r="B152" s="49"/>
      <c r="C152" s="91" t="s">
        <v>107</v>
      </c>
      <c r="D152" s="108">
        <f>($D$140/($D$115*$D$116^2))*(1.1-(0.88*($D$148*(2^0.5)/$D$116)))</f>
        <v>0.10325326338710773</v>
      </c>
      <c r="E152" s="69" t="s">
        <v>68</v>
      </c>
      <c r="K152" s="6"/>
    </row>
    <row r="153" spans="1:12" s="3" customFormat="1" ht="11.25" customHeight="1" x14ac:dyDescent="0.2">
      <c r="A153" s="29"/>
      <c r="K153" s="6"/>
    </row>
    <row r="154" spans="1:12" s="3" customFormat="1" ht="11.25" customHeight="1" x14ac:dyDescent="0.2">
      <c r="A154" s="29"/>
      <c r="K154" s="6"/>
    </row>
    <row r="155" spans="1:12" ht="11.25" customHeight="1" x14ac:dyDescent="0.25">
      <c r="A155" s="52" t="s">
        <v>108</v>
      </c>
      <c r="K155" s="1"/>
    </row>
    <row r="156" spans="1:12" ht="11.25" customHeight="1" x14ac:dyDescent="0.25">
      <c r="A156" s="52"/>
      <c r="K156" s="1"/>
    </row>
    <row r="157" spans="1:12" ht="11.25" customHeight="1" x14ac:dyDescent="0.25">
      <c r="A157" s="70"/>
      <c r="K157" s="1"/>
    </row>
    <row r="158" spans="1:12" s="3" customFormat="1" ht="18" customHeight="1" x14ac:dyDescent="0.25">
      <c r="A158" s="100"/>
      <c r="B158" s="109"/>
      <c r="C158" s="348" t="s">
        <v>109</v>
      </c>
      <c r="D158" s="349"/>
      <c r="E158" s="349"/>
      <c r="F158" s="350"/>
      <c r="G158" s="47" t="s">
        <v>110</v>
      </c>
      <c r="K158" s="6"/>
    </row>
    <row r="159" spans="1:12" s="3" customFormat="1" ht="11.25" customHeight="1" x14ac:dyDescent="0.2">
      <c r="A159" s="29"/>
      <c r="K159" s="6"/>
    </row>
    <row r="160" spans="1:12" s="3" customFormat="1" ht="21.75" x14ac:dyDescent="0.35">
      <c r="A160" s="82"/>
      <c r="B160" s="107"/>
      <c r="C160" s="351" t="s">
        <v>111</v>
      </c>
      <c r="D160" s="352"/>
      <c r="E160" s="352"/>
      <c r="F160" s="353"/>
      <c r="G160" s="55" t="s">
        <v>112</v>
      </c>
      <c r="K160" s="6"/>
    </row>
    <row r="161" spans="1:11" s="3" customFormat="1" ht="11.25" customHeight="1" x14ac:dyDescent="0.2">
      <c r="A161" s="29"/>
      <c r="K161" s="6"/>
    </row>
    <row r="162" spans="1:11" s="3" customFormat="1" ht="11.25" customHeight="1" x14ac:dyDescent="0.2">
      <c r="A162" s="93"/>
      <c r="B162" s="49"/>
      <c r="C162" s="122" t="s">
        <v>113</v>
      </c>
      <c r="D162" s="122" t="s">
        <v>114</v>
      </c>
      <c r="E162" s="34">
        <f>0.724*$D$113</f>
        <v>5.4157480314960624</v>
      </c>
      <c r="F162" s="69" t="s">
        <v>68</v>
      </c>
      <c r="G162" s="110" t="s">
        <v>115</v>
      </c>
      <c r="H162" s="111" t="s">
        <v>116</v>
      </c>
      <c r="K162" s="6"/>
    </row>
    <row r="163" spans="1:11" s="3" customFormat="1" ht="15" customHeight="1" x14ac:dyDescent="0.2">
      <c r="A163" s="82"/>
      <c r="B163" s="354" t="s">
        <v>117</v>
      </c>
      <c r="C163" s="354"/>
      <c r="D163" s="354"/>
      <c r="E163" s="34">
        <f>(((1.6*$D$148^2)+($D$113^2))^0.5)-(0.675*$D$113)</f>
        <v>13.499154598875826</v>
      </c>
      <c r="F163" s="69" t="s">
        <v>68</v>
      </c>
      <c r="K163" s="6"/>
    </row>
    <row r="164" spans="1:11" s="3" customFormat="1" ht="11.25" customHeight="1" x14ac:dyDescent="0.2">
      <c r="A164" s="29"/>
      <c r="K164" s="6"/>
    </row>
    <row r="165" spans="1:11" s="3" customFormat="1" ht="18" customHeight="1" x14ac:dyDescent="0.35">
      <c r="A165" s="29"/>
      <c r="C165" s="147" t="s">
        <v>118</v>
      </c>
      <c r="D165" s="106">
        <f>(0.316*$D$140/$E$36^2)*(4*LOG($D$116/$E$163)+1.069)</f>
        <v>347.00582402134864</v>
      </c>
      <c r="E165" s="93" t="s">
        <v>88</v>
      </c>
      <c r="K165" s="6"/>
    </row>
    <row r="166" spans="1:11" s="3" customFormat="1" ht="11.25" customHeight="1" x14ac:dyDescent="0.2">
      <c r="A166" s="29"/>
      <c r="C166" s="33"/>
      <c r="D166" s="112"/>
      <c r="E166" s="4"/>
      <c r="K166" s="6"/>
    </row>
    <row r="167" spans="1:11" s="3" customFormat="1" ht="18" customHeight="1" x14ac:dyDescent="0.35">
      <c r="A167" s="29"/>
      <c r="C167" s="147" t="s">
        <v>119</v>
      </c>
      <c r="D167" s="146">
        <f>($D$140/(8*$D$115*$D$116^2))*(1+((2/3.1416)*(LN($D$148/(2*$D$116))-0.673))*($D$148/$D$116)^2)</f>
        <v>1.6871347527699618E-2</v>
      </c>
      <c r="E167" s="49" t="s">
        <v>68</v>
      </c>
      <c r="K167" s="6"/>
    </row>
    <row r="168" spans="1:11" s="3" customFormat="1" ht="11.25" customHeight="1" x14ac:dyDescent="0.2">
      <c r="A168" s="29"/>
      <c r="K168" s="6"/>
    </row>
    <row r="169" spans="1:11" s="3" customFormat="1" ht="11.25" customHeight="1" x14ac:dyDescent="0.2">
      <c r="A169" s="29"/>
      <c r="K169" s="6"/>
    </row>
    <row r="170" spans="1:11" s="3" customFormat="1" ht="11.25" customHeight="1" x14ac:dyDescent="0.2">
      <c r="A170" s="52" t="s">
        <v>120</v>
      </c>
      <c r="K170" s="6"/>
    </row>
    <row r="171" spans="1:11" s="3" customFormat="1" ht="11.25" customHeight="1" x14ac:dyDescent="0.2">
      <c r="A171" s="52"/>
      <c r="K171" s="6"/>
    </row>
    <row r="172" spans="1:11" s="3" customFormat="1" ht="11.25" customHeight="1" x14ac:dyDescent="0.2">
      <c r="A172" s="52"/>
      <c r="K172" s="6"/>
    </row>
    <row r="173" spans="1:11" s="3" customFormat="1" ht="18" customHeight="1" x14ac:dyDescent="0.35">
      <c r="A173" s="29"/>
      <c r="C173" s="340" t="s">
        <v>121</v>
      </c>
      <c r="D173" s="355"/>
      <c r="E173" s="355"/>
      <c r="F173" s="341"/>
      <c r="G173" s="47" t="s">
        <v>122</v>
      </c>
      <c r="K173" s="6"/>
    </row>
    <row r="174" spans="1:11" s="3" customFormat="1" ht="11.25" customHeight="1" x14ac:dyDescent="0.2">
      <c r="A174" s="29"/>
      <c r="K174" s="6"/>
    </row>
    <row r="175" spans="1:11" s="3" customFormat="1" ht="18" customHeight="1" x14ac:dyDescent="0.35">
      <c r="A175" s="29"/>
      <c r="C175" s="337" t="s">
        <v>123</v>
      </c>
      <c r="D175" s="338"/>
      <c r="E175" s="338"/>
      <c r="F175" s="339"/>
      <c r="G175" s="55" t="s">
        <v>112</v>
      </c>
      <c r="K175" s="6"/>
    </row>
    <row r="176" spans="1:11" s="3" customFormat="1" ht="11.25" customHeight="1" x14ac:dyDescent="0.2">
      <c r="A176" s="29"/>
      <c r="K176" s="6"/>
    </row>
    <row r="177" spans="1:11" s="3" customFormat="1" ht="18" customHeight="1" x14ac:dyDescent="0.35">
      <c r="A177" s="29"/>
      <c r="C177" s="147" t="s">
        <v>124</v>
      </c>
      <c r="D177" s="106">
        <f>(0.572*$D$140/$E$36^2)*(4*LOG($D$116/$E$163)-0.359)</f>
        <v>274.05722551489077</v>
      </c>
      <c r="E177" s="93" t="s">
        <v>88</v>
      </c>
      <c r="K177" s="6"/>
    </row>
    <row r="178" spans="1:11" s="3" customFormat="1" ht="11.25" customHeight="1" x14ac:dyDescent="0.2">
      <c r="A178" s="29"/>
      <c r="C178" s="33"/>
      <c r="D178" s="96"/>
      <c r="E178" s="4"/>
      <c r="K178" s="6"/>
    </row>
    <row r="179" spans="1:11" s="3" customFormat="1" ht="18" customHeight="1" x14ac:dyDescent="0.35">
      <c r="A179" s="29"/>
      <c r="C179" s="147" t="s">
        <v>125</v>
      </c>
      <c r="D179" s="108">
        <f>(0.431*$D$140/($D$115*$D$116^2))*(1-(0.82*($D$148/($D$116))))</f>
        <v>5.0903881155234317E-2</v>
      </c>
      <c r="E179" s="49" t="s">
        <v>68</v>
      </c>
      <c r="K179" s="6"/>
    </row>
    <row r="180" spans="1:11" s="3" customFormat="1" ht="11.25" customHeight="1" x14ac:dyDescent="0.2">
      <c r="A180" s="29"/>
      <c r="D180" s="116"/>
      <c r="K180" s="6"/>
    </row>
    <row r="181" spans="1:11" s="3" customFormat="1" ht="11.25" customHeight="1" x14ac:dyDescent="0.2">
      <c r="A181" s="113"/>
      <c r="B181" s="114"/>
      <c r="C181" s="114"/>
      <c r="D181" s="192"/>
      <c r="E181" s="114"/>
      <c r="F181" s="114"/>
      <c r="G181" s="114"/>
      <c r="H181" s="114"/>
      <c r="I181" s="114"/>
      <c r="J181" s="114"/>
      <c r="K181" s="115"/>
    </row>
    <row r="182" spans="1:11" s="3" customFormat="1" ht="11.25" customHeight="1" x14ac:dyDescent="0.2">
      <c r="A182" s="155" t="s">
        <v>126</v>
      </c>
      <c r="B182" s="156"/>
      <c r="C182" s="156"/>
      <c r="D182" s="156"/>
      <c r="E182" s="156"/>
      <c r="F182" s="156"/>
      <c r="G182" s="156"/>
      <c r="H182" s="156"/>
      <c r="I182" s="156"/>
      <c r="J182" s="156"/>
      <c r="K182" s="160"/>
    </row>
    <row r="183" spans="1:11" s="3" customFormat="1" ht="11.25" customHeight="1" x14ac:dyDescent="0.2">
      <c r="A183" s="28"/>
      <c r="K183" s="6"/>
    </row>
    <row r="184" spans="1:11" s="3" customFormat="1" ht="11.25" customHeight="1" x14ac:dyDescent="0.2">
      <c r="A184" s="28"/>
      <c r="K184" s="6"/>
    </row>
    <row r="185" spans="1:11" s="3" customFormat="1" ht="21" customHeight="1" x14ac:dyDescent="0.35">
      <c r="A185" s="100"/>
      <c r="B185" s="109"/>
      <c r="C185" s="109"/>
      <c r="D185" s="340" t="s">
        <v>127</v>
      </c>
      <c r="E185" s="341"/>
      <c r="F185" s="51" t="s">
        <v>128</v>
      </c>
      <c r="I185" s="340" t="s">
        <v>129</v>
      </c>
      <c r="J185" s="341"/>
      <c r="K185" s="185" t="s">
        <v>130</v>
      </c>
    </row>
    <row r="186" spans="1:11" s="3" customFormat="1" ht="11.25" customHeight="1" x14ac:dyDescent="0.2">
      <c r="A186" s="100"/>
      <c r="B186" s="109"/>
      <c r="C186" s="109"/>
      <c r="K186" s="6"/>
    </row>
    <row r="187" spans="1:11" s="3" customFormat="1" ht="18" customHeight="1" x14ac:dyDescent="0.35">
      <c r="A187" s="100"/>
      <c r="B187" s="109"/>
      <c r="C187" s="109"/>
      <c r="D187" s="200" t="s">
        <v>131</v>
      </c>
      <c r="E187" s="84">
        <f>2400*0.0361273/1000</f>
        <v>8.6705520000000008E-2</v>
      </c>
      <c r="F187" s="47" t="s">
        <v>132</v>
      </c>
      <c r="I187" s="202" t="s">
        <v>133</v>
      </c>
      <c r="J187" s="170">
        <f>(E187*D113*E188*E189)/(2*E52)</f>
        <v>7.9796333467666952E-5</v>
      </c>
      <c r="K187" s="6" t="s">
        <v>134</v>
      </c>
    </row>
    <row r="188" spans="1:11" s="3" customFormat="1" ht="11.25" customHeight="1" x14ac:dyDescent="0.2">
      <c r="A188" s="100"/>
      <c r="B188" s="109"/>
      <c r="C188" s="109"/>
      <c r="D188" s="207" t="s">
        <v>135</v>
      </c>
      <c r="E188" s="84">
        <f>C36/12</f>
        <v>9.8425196850393704</v>
      </c>
      <c r="F188" s="4" t="s">
        <v>136</v>
      </c>
      <c r="K188" s="6"/>
    </row>
    <row r="189" spans="1:11" s="3" customFormat="1" ht="15" customHeight="1" x14ac:dyDescent="0.3">
      <c r="A189" s="100"/>
      <c r="B189" s="109"/>
      <c r="C189" s="109"/>
      <c r="D189" s="180" t="s">
        <v>137</v>
      </c>
      <c r="E189" s="122">
        <v>1.5</v>
      </c>
      <c r="F189" s="47" t="s">
        <v>138</v>
      </c>
      <c r="K189" s="6"/>
    </row>
    <row r="190" spans="1:11" s="3" customFormat="1" ht="18" customHeight="1" x14ac:dyDescent="0.35">
      <c r="A190" s="100"/>
      <c r="B190" s="109"/>
      <c r="C190" s="109"/>
      <c r="D190" s="147" t="s">
        <v>139</v>
      </c>
      <c r="E190" s="92">
        <f>$E$187*$E$188*$E$189/2</f>
        <v>0.64005059055118119</v>
      </c>
      <c r="F190" s="69" t="s">
        <v>88</v>
      </c>
      <c r="K190" s="6"/>
    </row>
    <row r="191" spans="1:11" s="3" customFormat="1" ht="11.25" customHeight="1" x14ac:dyDescent="0.25">
      <c r="A191" s="100"/>
      <c r="B191" s="109"/>
      <c r="C191" s="109"/>
      <c r="D191" s="181"/>
      <c r="E191" s="182"/>
      <c r="F191" s="69"/>
      <c r="K191" s="6"/>
    </row>
    <row r="192" spans="1:11" s="3" customFormat="1" ht="11.25" customHeight="1" x14ac:dyDescent="0.25">
      <c r="A192" s="100"/>
      <c r="B192" s="109"/>
      <c r="C192" s="109"/>
      <c r="D192" s="181"/>
      <c r="E192" s="182"/>
      <c r="F192" s="69"/>
      <c r="K192" s="6"/>
    </row>
    <row r="193" spans="1:11" s="3" customFormat="1" ht="11.25" customHeight="1" x14ac:dyDescent="0.2">
      <c r="A193" s="28" t="s">
        <v>140</v>
      </c>
      <c r="K193" s="6"/>
    </row>
    <row r="194" spans="1:11" s="3" customFormat="1" ht="11.25" customHeight="1" x14ac:dyDescent="0.2">
      <c r="A194" s="28"/>
      <c r="K194" s="6"/>
    </row>
    <row r="195" spans="1:11" s="3" customFormat="1" ht="11.25" customHeight="1" x14ac:dyDescent="0.2">
      <c r="A195" s="29"/>
      <c r="K195" s="6"/>
    </row>
    <row r="196" spans="1:11" s="3" customFormat="1" ht="56.25" customHeight="1" x14ac:dyDescent="0.2">
      <c r="A196" s="29"/>
      <c r="B196" s="344" t="s">
        <v>141</v>
      </c>
      <c r="C196" s="344"/>
      <c r="D196" s="199" t="s">
        <v>142</v>
      </c>
      <c r="E196" s="199" t="s">
        <v>143</v>
      </c>
      <c r="F196" s="199" t="s">
        <v>144</v>
      </c>
      <c r="G196" s="167"/>
      <c r="K196" s="6"/>
    </row>
    <row r="197" spans="1:11" s="3" customFormat="1" ht="13.5" customHeight="1" x14ac:dyDescent="0.2">
      <c r="A197" s="29"/>
      <c r="B197" s="354" t="s">
        <v>145</v>
      </c>
      <c r="C197" s="354"/>
      <c r="D197" s="149">
        <f>$E$123</f>
        <v>436.52379434923569</v>
      </c>
      <c r="E197" s="334">
        <v>595</v>
      </c>
      <c r="F197" s="149">
        <f>($D$197/$E$197)*100</f>
        <v>73.365343588106839</v>
      </c>
      <c r="G197" s="5"/>
      <c r="K197" s="6"/>
    </row>
    <row r="198" spans="1:11" s="3" customFormat="1" ht="13.5" customHeight="1" x14ac:dyDescent="0.2">
      <c r="A198" s="29"/>
      <c r="B198" s="354" t="s">
        <v>146</v>
      </c>
      <c r="C198" s="354"/>
      <c r="D198" s="149">
        <f>$E$125</f>
        <v>436.52379434923569</v>
      </c>
      <c r="E198" s="360"/>
      <c r="F198" s="149">
        <f>($D$198/$E$197)*100</f>
        <v>73.365343588106839</v>
      </c>
      <c r="G198" s="5"/>
      <c r="K198" s="6"/>
    </row>
    <row r="199" spans="1:11" s="3" customFormat="1" ht="13.5" customHeight="1" x14ac:dyDescent="0.2">
      <c r="A199" s="29"/>
      <c r="B199" s="354" t="s">
        <v>147</v>
      </c>
      <c r="C199" s="354"/>
      <c r="D199" s="149">
        <f>$E$127</f>
        <v>371.04522519685042</v>
      </c>
      <c r="E199" s="360"/>
      <c r="F199" s="149">
        <f>($D$199/$E$197)*100</f>
        <v>62.360542049890832</v>
      </c>
      <c r="G199" s="5"/>
      <c r="K199" s="6"/>
    </row>
    <row r="200" spans="1:11" s="3" customFormat="1" ht="13.5" customHeight="1" x14ac:dyDescent="0.2">
      <c r="A200" s="29"/>
      <c r="B200" s="354" t="s">
        <v>148</v>
      </c>
      <c r="C200" s="354"/>
      <c r="D200" s="149">
        <f>$E$129</f>
        <v>371.04522519685042</v>
      </c>
      <c r="E200" s="361"/>
      <c r="F200" s="149">
        <f>($D$200/$E$197)*100</f>
        <v>62.360542049890832</v>
      </c>
      <c r="G200" s="5"/>
      <c r="K200" s="6"/>
    </row>
    <row r="201" spans="1:11" s="3" customFormat="1" ht="11.25" customHeight="1" x14ac:dyDescent="0.2">
      <c r="A201" s="29"/>
      <c r="K201" s="6"/>
    </row>
    <row r="202" spans="1:11" s="3" customFormat="1" ht="49.5" customHeight="1" x14ac:dyDescent="0.2">
      <c r="A202" s="29"/>
      <c r="B202" s="107"/>
      <c r="C202" s="199" t="s">
        <v>141</v>
      </c>
      <c r="D202" s="199" t="s">
        <v>149</v>
      </c>
      <c r="E202" s="199" t="s">
        <v>143</v>
      </c>
      <c r="F202" s="199" t="s">
        <v>144</v>
      </c>
      <c r="G202" s="167"/>
      <c r="H202" s="117"/>
      <c r="K202" s="6"/>
    </row>
    <row r="203" spans="1:11" s="3" customFormat="1" ht="11.25" customHeight="1" x14ac:dyDescent="0.2">
      <c r="A203" s="29"/>
      <c r="C203" s="150" t="s">
        <v>150</v>
      </c>
      <c r="D203" s="149">
        <f>$D$150</f>
        <v>338.40095676076663</v>
      </c>
      <c r="E203" s="334">
        <v>595</v>
      </c>
      <c r="F203" s="149">
        <f>($D$203/$E$203)*100</f>
        <v>56.874110379960776</v>
      </c>
      <c r="G203" s="168"/>
      <c r="K203" s="6"/>
    </row>
    <row r="204" spans="1:11" s="3" customFormat="1" ht="11.25" customHeight="1" x14ac:dyDescent="0.2">
      <c r="A204" s="29"/>
      <c r="C204" s="150" t="s">
        <v>151</v>
      </c>
      <c r="D204" s="149">
        <f>$D$165</f>
        <v>347.00582402134864</v>
      </c>
      <c r="E204" s="335"/>
      <c r="F204" s="149">
        <f>($D$204/$E$203)*100</f>
        <v>58.320306558209857</v>
      </c>
      <c r="G204" s="168"/>
      <c r="K204" s="6"/>
    </row>
    <row r="205" spans="1:11" s="3" customFormat="1" ht="11.25" customHeight="1" x14ac:dyDescent="0.2">
      <c r="A205" s="29"/>
      <c r="C205" s="150" t="s">
        <v>152</v>
      </c>
      <c r="D205" s="149">
        <f>$D$177</f>
        <v>274.05722551489077</v>
      </c>
      <c r="E205" s="336"/>
      <c r="F205" s="149">
        <f>($D$205/$E$203)*100</f>
        <v>46.060037901662312</v>
      </c>
      <c r="G205" s="168"/>
      <c r="K205" s="6"/>
    </row>
    <row r="206" spans="1:11" s="3" customFormat="1" ht="11.25" customHeight="1" x14ac:dyDescent="0.2">
      <c r="A206" s="29"/>
      <c r="K206" s="6"/>
    </row>
    <row r="207" spans="1:11" s="3" customFormat="1" ht="11.25" customHeight="1" x14ac:dyDescent="0.2">
      <c r="A207" s="29"/>
      <c r="K207" s="6"/>
    </row>
    <row r="208" spans="1:11" s="3" customFormat="1" ht="11.25" customHeight="1" x14ac:dyDescent="0.2">
      <c r="A208" s="28" t="s">
        <v>153</v>
      </c>
      <c r="K208" s="6"/>
    </row>
    <row r="209" spans="1:11" s="3" customFormat="1" ht="11.25" customHeight="1" x14ac:dyDescent="0.2">
      <c r="A209" s="28"/>
      <c r="K209" s="6"/>
    </row>
    <row r="210" spans="1:11" s="3" customFormat="1" ht="11.25" customHeight="1" x14ac:dyDescent="0.2">
      <c r="A210" s="29"/>
      <c r="K210" s="6"/>
    </row>
    <row r="211" spans="1:11" s="3" customFormat="1" ht="23.25" customHeight="1" x14ac:dyDescent="0.2">
      <c r="A211" s="29"/>
      <c r="B211" s="107"/>
      <c r="C211" s="152" t="s">
        <v>141</v>
      </c>
      <c r="D211" s="152" t="s">
        <v>154</v>
      </c>
      <c r="E211" s="152" t="s">
        <v>155</v>
      </c>
      <c r="F211" s="169"/>
      <c r="G211" s="118"/>
      <c r="H211" s="117"/>
      <c r="K211" s="6"/>
    </row>
    <row r="212" spans="1:11" s="3" customFormat="1" ht="11.25" customHeight="1" x14ac:dyDescent="0.2">
      <c r="A212" s="29"/>
      <c r="C212" s="205" t="s">
        <v>150</v>
      </c>
      <c r="D212" s="119">
        <f>$D$152</f>
        <v>0.10325326338710773</v>
      </c>
      <c r="E212" s="120">
        <f>$D$212*25.4</f>
        <v>2.6226328900325364</v>
      </c>
      <c r="F212" s="117"/>
      <c r="K212" s="6"/>
    </row>
    <row r="213" spans="1:11" s="3" customFormat="1" ht="11.25" customHeight="1" x14ac:dyDescent="0.2">
      <c r="A213" s="29"/>
      <c r="C213" s="205" t="s">
        <v>151</v>
      </c>
      <c r="D213" s="119">
        <f>$D$167</f>
        <v>1.6871347527699618E-2</v>
      </c>
      <c r="E213" s="120">
        <f>$D$213*25.4</f>
        <v>0.42853222720357026</v>
      </c>
      <c r="F213" s="117"/>
      <c r="K213" s="6"/>
    </row>
    <row r="214" spans="1:11" s="3" customFormat="1" ht="11.25" customHeight="1" x14ac:dyDescent="0.2">
      <c r="A214" s="29"/>
      <c r="C214" s="205" t="s">
        <v>152</v>
      </c>
      <c r="D214" s="119">
        <f>$D$179</f>
        <v>5.0903881155234317E-2</v>
      </c>
      <c r="E214" s="120">
        <f>$D$214*25.4</f>
        <v>1.2929585813429516</v>
      </c>
      <c r="F214" s="117"/>
      <c r="K214" s="6"/>
    </row>
    <row r="215" spans="1:11" s="3" customFormat="1" ht="11.25" customHeight="1" x14ac:dyDescent="0.2">
      <c r="A215" s="29"/>
      <c r="K215" s="6"/>
    </row>
    <row r="216" spans="1:11" s="3" customFormat="1" ht="11.25" customHeight="1" x14ac:dyDescent="0.2">
      <c r="A216" s="29"/>
      <c r="K216" s="6"/>
    </row>
    <row r="217" spans="1:11" s="3" customFormat="1" ht="11.25" customHeight="1" x14ac:dyDescent="0.2">
      <c r="A217" s="29"/>
      <c r="K217" s="6"/>
    </row>
    <row r="218" spans="1:11" s="3" customFormat="1" ht="11.25" customHeight="1" x14ac:dyDescent="0.2">
      <c r="A218" s="29"/>
      <c r="K218" s="6"/>
    </row>
    <row r="219" spans="1:11" s="3" customFormat="1" ht="11.25" customHeight="1" x14ac:dyDescent="0.2">
      <c r="A219" s="29"/>
      <c r="K219" s="6"/>
    </row>
    <row r="220" spans="1:11" s="3" customFormat="1" ht="11.25" customHeight="1" x14ac:dyDescent="0.2">
      <c r="A220" s="113"/>
      <c r="B220" s="114"/>
      <c r="C220" s="114"/>
      <c r="D220" s="114"/>
      <c r="E220" s="114"/>
      <c r="F220" s="114"/>
      <c r="G220" s="114"/>
      <c r="H220" s="114"/>
      <c r="I220" s="114"/>
      <c r="J220" s="114"/>
      <c r="K220" s="115"/>
    </row>
  </sheetData>
  <mergeCells count="47">
    <mergeCell ref="E203:E205"/>
    <mergeCell ref="C175:F175"/>
    <mergeCell ref="D185:E185"/>
    <mergeCell ref="I185:J185"/>
    <mergeCell ref="B196:C196"/>
    <mergeCell ref="B197:C197"/>
    <mergeCell ref="E197:E200"/>
    <mergeCell ref="B198:C198"/>
    <mergeCell ref="B199:C199"/>
    <mergeCell ref="B200:C200"/>
    <mergeCell ref="C173:F173"/>
    <mergeCell ref="D119:E119"/>
    <mergeCell ref="I120:K120"/>
    <mergeCell ref="I121:K121"/>
    <mergeCell ref="B135:E135"/>
    <mergeCell ref="B137:E137"/>
    <mergeCell ref="D139:H139"/>
    <mergeCell ref="E140:I140"/>
    <mergeCell ref="C146:F146"/>
    <mergeCell ref="C158:F158"/>
    <mergeCell ref="C160:F160"/>
    <mergeCell ref="B163:D163"/>
    <mergeCell ref="J72:K72"/>
    <mergeCell ref="B103:E103"/>
    <mergeCell ref="B105:E105"/>
    <mergeCell ref="B107:D107"/>
    <mergeCell ref="A109:B109"/>
    <mergeCell ref="C109:E109"/>
    <mergeCell ref="A54:B54"/>
    <mergeCell ref="A57:C57"/>
    <mergeCell ref="D57:E57"/>
    <mergeCell ref="A58:C58"/>
    <mergeCell ref="A59:C59"/>
    <mergeCell ref="D59:G59"/>
    <mergeCell ref="C21:D21"/>
    <mergeCell ref="I21:K21"/>
    <mergeCell ref="A1:K1"/>
    <mergeCell ref="D9:E9"/>
    <mergeCell ref="D10:E10"/>
    <mergeCell ref="D11:E11"/>
    <mergeCell ref="D12:E12"/>
    <mergeCell ref="D13:E13"/>
    <mergeCell ref="C19:D19"/>
    <mergeCell ref="G19:H19"/>
    <mergeCell ref="J19:J20"/>
    <mergeCell ref="C20:D20"/>
    <mergeCell ref="G20:H20"/>
  </mergeCells>
  <pageMargins left="0.39370078740157483" right="0.39370078740157483" top="0.39370078740157483" bottom="0.39370078740157483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09816-551B-4715-9614-D99294EC8AFD}">
  <sheetPr>
    <tabColor rgb="FFFFC000"/>
  </sheetPr>
  <dimension ref="A1:L220"/>
  <sheetViews>
    <sheetView showGridLines="0" topLeftCell="A6" zoomScaleNormal="100" workbookViewId="0">
      <selection activeCell="F10" sqref="F10"/>
    </sheetView>
  </sheetViews>
  <sheetFormatPr baseColWidth="10" defaultColWidth="8.85546875" defaultRowHeight="15" x14ac:dyDescent="0.25"/>
  <cols>
    <col min="1" max="1" width="17.28515625" customWidth="1"/>
    <col min="2" max="3" width="11.42578125" customWidth="1"/>
    <col min="4" max="4" width="13.5703125" customWidth="1"/>
    <col min="5" max="10" width="11.42578125" customWidth="1"/>
    <col min="11" max="11" width="9.7109375" customWidth="1"/>
    <col min="12" max="256" width="11.42578125" customWidth="1"/>
  </cols>
  <sheetData>
    <row r="1" spans="1:11" s="2" customFormat="1" ht="15" customHeight="1" x14ac:dyDescent="0.2">
      <c r="A1" s="306" t="s">
        <v>225</v>
      </c>
      <c r="B1" s="307"/>
      <c r="C1" s="307"/>
      <c r="D1" s="307"/>
      <c r="E1" s="307"/>
      <c r="F1" s="307"/>
      <c r="G1" s="307"/>
      <c r="H1" s="307"/>
      <c r="I1" s="307"/>
      <c r="J1" s="307"/>
      <c r="K1" s="308"/>
    </row>
    <row r="2" spans="1:11" s="2" customFormat="1" ht="11.25" customHeight="1" x14ac:dyDescent="0.2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7"/>
    </row>
    <row r="3" spans="1:11" s="3" customFormat="1" ht="11.25" customHeight="1" x14ac:dyDescent="0.2">
      <c r="A3" s="28" t="s">
        <v>5</v>
      </c>
      <c r="K3" s="6"/>
    </row>
    <row r="4" spans="1:11" s="3" customFormat="1" ht="11.25" customHeight="1" x14ac:dyDescent="0.2">
      <c r="A4" s="28"/>
      <c r="K4" s="6"/>
    </row>
    <row r="5" spans="1:11" s="3" customFormat="1" ht="11.25" customHeight="1" x14ac:dyDescent="0.2">
      <c r="A5" s="28"/>
      <c r="K5" s="6"/>
    </row>
    <row r="6" spans="1:11" s="2" customFormat="1" ht="11.25" customHeight="1" x14ac:dyDescent="0.2">
      <c r="A6" s="9" t="s">
        <v>6</v>
      </c>
      <c r="B6" s="18"/>
      <c r="C6" s="18"/>
      <c r="D6" s="11"/>
      <c r="E6" s="12"/>
      <c r="F6" s="12"/>
      <c r="G6" s="13"/>
      <c r="H6" s="14"/>
      <c r="I6" s="15"/>
      <c r="J6" s="16"/>
      <c r="K6" s="17"/>
    </row>
    <row r="7" spans="1:11" s="2" customFormat="1" ht="11.25" customHeight="1" x14ac:dyDescent="0.2">
      <c r="A7" s="9"/>
      <c r="B7" s="18"/>
      <c r="C7" s="18"/>
      <c r="D7" s="11"/>
      <c r="E7" s="12"/>
      <c r="F7" s="12"/>
      <c r="G7" s="13"/>
      <c r="H7" s="14"/>
      <c r="I7" s="15"/>
      <c r="J7" s="16"/>
      <c r="K7" s="17"/>
    </row>
    <row r="8" spans="1:11" s="2" customFormat="1" ht="11.25" customHeight="1" x14ac:dyDescent="0.2">
      <c r="A8" s="9"/>
      <c r="B8" s="18"/>
      <c r="C8" s="18"/>
      <c r="D8" s="11"/>
      <c r="E8" s="12"/>
      <c r="F8" s="12"/>
      <c r="G8" s="13"/>
      <c r="H8" s="14"/>
      <c r="I8" s="15"/>
      <c r="J8" s="16"/>
      <c r="K8" s="17"/>
    </row>
    <row r="9" spans="1:11" s="2" customFormat="1" ht="22.5" customHeight="1" x14ac:dyDescent="0.2">
      <c r="A9" s="10"/>
      <c r="B9" s="19"/>
      <c r="C9" s="19"/>
      <c r="D9" s="304" t="s">
        <v>4</v>
      </c>
      <c r="E9" s="305"/>
      <c r="F9" s="208" t="s">
        <v>7</v>
      </c>
      <c r="G9" s="208" t="s">
        <v>8</v>
      </c>
      <c r="H9" s="19"/>
      <c r="I9" s="19"/>
      <c r="J9" s="19"/>
      <c r="K9" s="20"/>
    </row>
    <row r="10" spans="1:11" s="2" customFormat="1" ht="26.25" customHeight="1" x14ac:dyDescent="0.2">
      <c r="A10" s="21"/>
      <c r="B10" s="15"/>
      <c r="C10" s="22"/>
      <c r="D10" s="309" t="s">
        <v>162</v>
      </c>
      <c r="E10" s="309"/>
      <c r="F10" s="23">
        <v>180</v>
      </c>
      <c r="G10" s="144"/>
      <c r="H10" s="124"/>
      <c r="I10" s="25"/>
      <c r="J10" s="25"/>
      <c r="K10" s="26"/>
    </row>
    <row r="11" spans="1:11" s="2" customFormat="1" ht="15" customHeight="1" x14ac:dyDescent="0.2">
      <c r="A11" s="21"/>
      <c r="B11" s="24"/>
      <c r="C11" s="8"/>
      <c r="D11" s="310" t="s">
        <v>159</v>
      </c>
      <c r="E11" s="310"/>
      <c r="F11" s="197">
        <v>150</v>
      </c>
      <c r="G11" s="123"/>
      <c r="H11" s="25"/>
      <c r="I11" s="25"/>
      <c r="J11" s="25"/>
      <c r="K11" s="26"/>
    </row>
    <row r="12" spans="1:11" s="2" customFormat="1" ht="13.5" customHeight="1" x14ac:dyDescent="0.2">
      <c r="A12" s="21"/>
      <c r="B12" s="24"/>
      <c r="C12" s="8"/>
      <c r="D12" s="310" t="s">
        <v>9</v>
      </c>
      <c r="E12" s="310"/>
      <c r="F12" s="125">
        <v>54</v>
      </c>
      <c r="G12" s="126"/>
      <c r="H12" s="25"/>
      <c r="I12" s="25"/>
      <c r="J12" s="25"/>
      <c r="K12" s="26"/>
    </row>
    <row r="13" spans="1:11" s="2" customFormat="1" ht="34.5" customHeight="1" x14ac:dyDescent="0.2">
      <c r="A13" s="21"/>
      <c r="B13" s="24"/>
      <c r="C13" s="8"/>
      <c r="D13" s="310" t="s">
        <v>10</v>
      </c>
      <c r="E13" s="310"/>
      <c r="F13" s="140" t="s">
        <v>11</v>
      </c>
      <c r="G13" s="143"/>
      <c r="H13" s="25"/>
      <c r="I13" s="25"/>
      <c r="J13" s="25"/>
      <c r="K13" s="26"/>
    </row>
    <row r="14" spans="1:11" s="3" customFormat="1" ht="10.5" customHeight="1" x14ac:dyDescent="0.25">
      <c r="A14" s="97"/>
      <c r="B14" s="98"/>
      <c r="C14" s="27"/>
      <c r="D14" s="27"/>
      <c r="E14" s="27"/>
      <c r="F14" s="27"/>
      <c r="G14" s="27"/>
      <c r="H14" s="98"/>
      <c r="I14" s="98"/>
      <c r="J14" s="98"/>
      <c r="K14" s="99"/>
    </row>
    <row r="15" spans="1:11" s="3" customFormat="1" ht="10.5" customHeight="1" x14ac:dyDescent="0.25">
      <c r="A15" s="97"/>
      <c r="B15" s="98"/>
      <c r="C15" s="27"/>
      <c r="D15" s="27"/>
      <c r="E15" s="27"/>
      <c r="F15" s="27"/>
      <c r="G15" s="27"/>
      <c r="H15" s="98"/>
      <c r="I15" s="98"/>
      <c r="J15" s="98"/>
      <c r="K15" s="99"/>
    </row>
    <row r="16" spans="1:11" s="3" customFormat="1" ht="11.25" customHeight="1" x14ac:dyDescent="0.2">
      <c r="A16" s="30" t="s">
        <v>12</v>
      </c>
      <c r="K16" s="6"/>
    </row>
    <row r="17" spans="1:11" s="3" customFormat="1" ht="11.25" customHeight="1" x14ac:dyDescent="0.2">
      <c r="A17" s="30"/>
      <c r="K17" s="6"/>
    </row>
    <row r="18" spans="1:11" s="3" customFormat="1" ht="11.25" customHeight="1" x14ac:dyDescent="0.2">
      <c r="A18" s="28"/>
      <c r="K18" s="6"/>
    </row>
    <row r="19" spans="1:11" s="3" customFormat="1" ht="11.25" customHeight="1" x14ac:dyDescent="0.2">
      <c r="A19" s="40" t="s">
        <v>13</v>
      </c>
      <c r="C19" s="311" t="s">
        <v>14</v>
      </c>
      <c r="D19" s="311"/>
      <c r="E19" s="32">
        <v>3</v>
      </c>
      <c r="F19" s="33" t="s">
        <v>2</v>
      </c>
      <c r="G19" s="362" t="s">
        <v>15</v>
      </c>
      <c r="H19" s="362"/>
      <c r="I19" s="34">
        <v>7.3</v>
      </c>
      <c r="J19" s="322" t="s">
        <v>16</v>
      </c>
      <c r="K19" s="206">
        <v>4</v>
      </c>
    </row>
    <row r="20" spans="1:11" s="3" customFormat="1" ht="11.25" customHeight="1" x14ac:dyDescent="0.2">
      <c r="A20" s="29"/>
      <c r="C20" s="322" t="s">
        <v>17</v>
      </c>
      <c r="D20" s="322"/>
      <c r="E20" s="32">
        <f>3.3/2</f>
        <v>1.65</v>
      </c>
      <c r="F20" s="33" t="s">
        <v>2</v>
      </c>
      <c r="G20" s="363" t="s">
        <v>18</v>
      </c>
      <c r="H20" s="363"/>
      <c r="I20" s="173">
        <f>I19*2</f>
        <v>14.6</v>
      </c>
      <c r="J20" s="322"/>
      <c r="K20" s="174" t="s">
        <v>19</v>
      </c>
    </row>
    <row r="21" spans="1:11" s="3" customFormat="1" ht="11.25" customHeight="1" x14ac:dyDescent="0.2">
      <c r="A21" s="29"/>
      <c r="B21" s="206" t="s">
        <v>20</v>
      </c>
      <c r="C21" s="322" t="s">
        <v>21</v>
      </c>
      <c r="D21" s="322"/>
      <c r="E21" s="37">
        <v>3</v>
      </c>
      <c r="F21" s="33" t="s">
        <v>2</v>
      </c>
      <c r="G21" s="171" t="s">
        <v>22</v>
      </c>
      <c r="H21" s="172">
        <f>E21/E19</f>
        <v>1</v>
      </c>
      <c r="I21" s="318" t="s">
        <v>156</v>
      </c>
      <c r="J21" s="318"/>
      <c r="K21" s="319"/>
    </row>
    <row r="22" spans="1:11" s="3" customFormat="1" ht="11.25" customHeight="1" x14ac:dyDescent="0.2">
      <c r="A22" s="29"/>
      <c r="K22" s="6"/>
    </row>
    <row r="23" spans="1:11" s="3" customFormat="1" ht="11.25" customHeight="1" x14ac:dyDescent="0.2">
      <c r="A23" s="29"/>
      <c r="K23" s="6"/>
    </row>
    <row r="24" spans="1:11" s="3" customFormat="1" ht="11.25" customHeight="1" x14ac:dyDescent="0.2">
      <c r="A24" s="28" t="s">
        <v>23</v>
      </c>
      <c r="K24" s="6"/>
    </row>
    <row r="25" spans="1:11" s="3" customFormat="1" ht="11.25" customHeight="1" x14ac:dyDescent="0.2">
      <c r="A25" s="28"/>
      <c r="K25" s="6"/>
    </row>
    <row r="26" spans="1:11" s="3" customFormat="1" ht="11.25" customHeight="1" x14ac:dyDescent="0.2">
      <c r="A26" s="28"/>
      <c r="K26" s="6"/>
    </row>
    <row r="27" spans="1:11" s="3" customFormat="1" ht="11.25" customHeight="1" x14ac:dyDescent="0.2">
      <c r="A27" s="41" t="s">
        <v>24</v>
      </c>
      <c r="B27" s="4" t="s">
        <v>25</v>
      </c>
      <c r="C27" s="4"/>
      <c r="G27" s="223"/>
      <c r="H27" s="224"/>
      <c r="I27" s="165"/>
      <c r="K27" s="6"/>
    </row>
    <row r="28" spans="1:11" s="3" customFormat="1" ht="11.25" customHeight="1" x14ac:dyDescent="0.2">
      <c r="A28" s="139"/>
      <c r="B28" s="4"/>
      <c r="C28" s="4"/>
      <c r="G28" s="127"/>
      <c r="H28" s="138"/>
      <c r="I28" s="165"/>
      <c r="K28" s="6"/>
    </row>
    <row r="29" spans="1:11" s="3" customFormat="1" ht="11.25" customHeight="1" x14ac:dyDescent="0.2">
      <c r="A29" s="139"/>
      <c r="B29" s="4"/>
      <c r="C29" s="4"/>
      <c r="K29" s="6"/>
    </row>
    <row r="30" spans="1:11" s="3" customFormat="1" ht="11.25" customHeight="1" x14ac:dyDescent="0.2">
      <c r="A30" s="30" t="s">
        <v>26</v>
      </c>
      <c r="B30" s="127"/>
      <c r="C30" s="138"/>
      <c r="D30" s="33"/>
      <c r="E30" s="38"/>
      <c r="G30" s="33"/>
      <c r="H30" s="33"/>
      <c r="I30" s="33"/>
      <c r="J30" s="33"/>
      <c r="K30" s="6"/>
    </row>
    <row r="31" spans="1:11" s="3" customFormat="1" ht="11.25" customHeight="1" x14ac:dyDescent="0.2">
      <c r="A31" s="30"/>
      <c r="B31" s="127"/>
      <c r="C31" s="138"/>
      <c r="D31" s="33"/>
      <c r="E31" s="38"/>
      <c r="G31" s="33"/>
      <c r="H31" s="33"/>
      <c r="I31" s="33"/>
      <c r="J31" s="33"/>
      <c r="K31" s="6"/>
    </row>
    <row r="32" spans="1:11" s="3" customFormat="1" ht="11.25" customHeight="1" x14ac:dyDescent="0.2">
      <c r="A32" s="29"/>
      <c r="B32" s="127"/>
      <c r="C32" s="138"/>
      <c r="D32" s="33"/>
      <c r="E32" s="38"/>
      <c r="G32" s="33"/>
      <c r="H32" s="33"/>
      <c r="I32" s="33"/>
      <c r="J32" s="33"/>
      <c r="K32" s="6"/>
    </row>
    <row r="33" spans="1:11" s="3" customFormat="1" ht="11.25" customHeight="1" x14ac:dyDescent="0.2">
      <c r="A33" s="39"/>
      <c r="C33" s="40" t="s">
        <v>27</v>
      </c>
      <c r="D33" s="40" t="s">
        <v>28</v>
      </c>
      <c r="E33" s="41" t="s">
        <v>29</v>
      </c>
      <c r="G33" s="44"/>
      <c r="K33" s="6"/>
    </row>
    <row r="34" spans="1:11" s="3" customFormat="1" ht="11.25" customHeight="1" x14ac:dyDescent="0.2">
      <c r="A34" s="39"/>
      <c r="C34" s="42">
        <f>E21</f>
        <v>3</v>
      </c>
      <c r="D34" s="42">
        <f>E19</f>
        <v>3</v>
      </c>
      <c r="E34" s="42">
        <f>F10/1000</f>
        <v>0.18</v>
      </c>
      <c r="K34" s="6"/>
    </row>
    <row r="35" spans="1:11" s="3" customFormat="1" ht="11.25" customHeight="1" x14ac:dyDescent="0.2">
      <c r="A35" s="29"/>
      <c r="C35" s="40" t="s">
        <v>30</v>
      </c>
      <c r="D35" s="40" t="s">
        <v>31</v>
      </c>
      <c r="E35" s="41" t="s">
        <v>32</v>
      </c>
      <c r="F35" s="4"/>
      <c r="G35" s="163"/>
      <c r="K35" s="6"/>
    </row>
    <row r="36" spans="1:11" s="3" customFormat="1" ht="11.25" customHeight="1" x14ac:dyDescent="0.2">
      <c r="A36" s="29"/>
      <c r="C36" s="43">
        <f>C34/0.0254</f>
        <v>118.11023622047244</v>
      </c>
      <c r="D36" s="43">
        <f>D34/0.0254</f>
        <v>118.11023622047244</v>
      </c>
      <c r="E36" s="43">
        <f>E34/0.0254</f>
        <v>7.0866141732283463</v>
      </c>
      <c r="K36" s="6"/>
    </row>
    <row r="37" spans="1:11" s="3" customFormat="1" ht="11.25" customHeight="1" x14ac:dyDescent="0.2">
      <c r="A37" s="29"/>
      <c r="K37" s="6"/>
    </row>
    <row r="38" spans="1:11" s="3" customFormat="1" ht="11.25" customHeight="1" x14ac:dyDescent="0.2">
      <c r="A38" s="52"/>
      <c r="D38" s="25"/>
      <c r="E38" s="25"/>
      <c r="F38" s="25"/>
      <c r="G38" s="25"/>
      <c r="H38" s="44"/>
      <c r="I38" s="47"/>
      <c r="J38" s="44"/>
      <c r="K38" s="6"/>
    </row>
    <row r="39" spans="1:11" s="3" customFormat="1" ht="10.5" customHeight="1" x14ac:dyDescent="0.2">
      <c r="A39" s="29"/>
      <c r="B39" s="44"/>
      <c r="I39" s="47"/>
      <c r="J39" s="44"/>
      <c r="K39" s="6"/>
    </row>
    <row r="40" spans="1:11" s="3" customFormat="1" ht="10.5" customHeight="1" x14ac:dyDescent="0.2">
      <c r="A40" s="29"/>
      <c r="I40" s="47"/>
      <c r="J40" s="44"/>
      <c r="K40" s="6"/>
    </row>
    <row r="41" spans="1:11" s="3" customFormat="1" ht="10.5" customHeight="1" x14ac:dyDescent="0.2">
      <c r="A41" s="29"/>
      <c r="I41" s="47"/>
      <c r="J41" s="44"/>
      <c r="K41" s="6"/>
    </row>
    <row r="42" spans="1:11" s="3" customFormat="1" ht="15" customHeight="1" x14ac:dyDescent="0.2">
      <c r="A42" s="29"/>
      <c r="I42" s="47"/>
      <c r="J42" s="44"/>
      <c r="K42" s="6"/>
    </row>
    <row r="43" spans="1:11" s="3" customFormat="1" ht="15" customHeight="1" x14ac:dyDescent="0.2">
      <c r="A43" s="29"/>
      <c r="B43" s="164"/>
      <c r="H43" s="142"/>
      <c r="I43" s="47"/>
      <c r="J43" s="163"/>
      <c r="K43" s="6"/>
    </row>
    <row r="44" spans="1:11" s="3" customFormat="1" ht="10.5" customHeight="1" x14ac:dyDescent="0.2">
      <c r="A44" s="29"/>
      <c r="I44" s="47"/>
      <c r="J44" s="44"/>
      <c r="K44" s="6"/>
    </row>
    <row r="45" spans="1:11" s="3" customFormat="1" ht="10.5" customHeight="1" x14ac:dyDescent="0.2">
      <c r="A45" s="113"/>
      <c r="B45" s="114"/>
      <c r="C45" s="114"/>
      <c r="D45" s="114"/>
      <c r="E45" s="114"/>
      <c r="F45" s="114"/>
      <c r="G45" s="114"/>
      <c r="H45" s="114"/>
      <c r="I45" s="57"/>
      <c r="J45" s="154"/>
      <c r="K45" s="115"/>
    </row>
    <row r="46" spans="1:11" s="33" customFormat="1" ht="11.25" customHeight="1" x14ac:dyDescent="0.2">
      <c r="A46" s="155" t="s">
        <v>33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41"/>
    </row>
    <row r="47" spans="1:11" s="33" customFormat="1" ht="11.25" customHeight="1" x14ac:dyDescent="0.2">
      <c r="A47" s="28"/>
      <c r="K47" s="53"/>
    </row>
    <row r="48" spans="1:11" s="33" customFormat="1" ht="11.25" customHeight="1" x14ac:dyDescent="0.2">
      <c r="A48" s="54"/>
      <c r="K48" s="53"/>
    </row>
    <row r="49" spans="1:11" s="33" customFormat="1" ht="11.25" customHeight="1" x14ac:dyDescent="0.2">
      <c r="A49" s="52" t="s">
        <v>34</v>
      </c>
      <c r="K49" s="53"/>
    </row>
    <row r="50" spans="1:11" s="33" customFormat="1" ht="11.25" customHeight="1" x14ac:dyDescent="0.2">
      <c r="A50" s="52"/>
      <c r="K50" s="53"/>
    </row>
    <row r="51" spans="1:11" s="33" customFormat="1" ht="11.25" customHeight="1" x14ac:dyDescent="0.2">
      <c r="A51" s="54"/>
      <c r="K51" s="53"/>
    </row>
    <row r="52" spans="1:11" s="33" customFormat="1" ht="11.25" customHeight="1" x14ac:dyDescent="0.2">
      <c r="A52" s="206" t="s">
        <v>35</v>
      </c>
      <c r="B52" s="206" t="s">
        <v>36</v>
      </c>
      <c r="C52" s="206">
        <v>4200</v>
      </c>
      <c r="D52" s="66" t="s">
        <v>3</v>
      </c>
      <c r="E52" s="206">
        <f>C52/0.07</f>
        <v>59999.999999999993</v>
      </c>
      <c r="F52" s="66" t="s">
        <v>37</v>
      </c>
      <c r="K52" s="53"/>
    </row>
    <row r="53" spans="1:11" s="33" customFormat="1" ht="11.25" customHeight="1" x14ac:dyDescent="0.2">
      <c r="A53" s="206" t="s">
        <v>38</v>
      </c>
      <c r="B53" s="61" t="s">
        <v>39</v>
      </c>
      <c r="C53" s="206">
        <v>12.7</v>
      </c>
      <c r="D53" s="66" t="s">
        <v>40</v>
      </c>
      <c r="E53" s="62">
        <f>C53/25.4</f>
        <v>0.5</v>
      </c>
      <c r="F53" s="66" t="s">
        <v>41</v>
      </c>
      <c r="K53" s="53"/>
    </row>
    <row r="54" spans="1:11" s="33" customFormat="1" ht="11.25" customHeight="1" x14ac:dyDescent="0.2">
      <c r="A54" s="315" t="s">
        <v>42</v>
      </c>
      <c r="B54" s="317"/>
      <c r="C54" s="206" t="s">
        <v>43</v>
      </c>
      <c r="K54" s="53"/>
    </row>
    <row r="55" spans="1:11" s="33" customFormat="1" ht="11.25" customHeight="1" x14ac:dyDescent="0.2">
      <c r="A55" s="48"/>
      <c r="B55" s="63"/>
      <c r="K55" s="53"/>
    </row>
    <row r="56" spans="1:11" s="33" customFormat="1" ht="11.25" customHeight="1" x14ac:dyDescent="0.2">
      <c r="A56" s="70" t="s">
        <v>44</v>
      </c>
      <c r="K56" s="53"/>
    </row>
    <row r="57" spans="1:11" s="33" customFormat="1" ht="11.25" customHeight="1" x14ac:dyDescent="0.2">
      <c r="A57" s="315" t="s">
        <v>45</v>
      </c>
      <c r="B57" s="316"/>
      <c r="C57" s="317"/>
      <c r="D57" s="313" t="s">
        <v>13</v>
      </c>
      <c r="E57" s="314"/>
      <c r="K57" s="53"/>
    </row>
    <row r="58" spans="1:11" s="33" customFormat="1" ht="11.25" customHeight="1" x14ac:dyDescent="0.2">
      <c r="A58" s="315" t="s">
        <v>46</v>
      </c>
      <c r="B58" s="316"/>
      <c r="C58" s="317"/>
      <c r="D58" s="193" t="s">
        <v>157</v>
      </c>
      <c r="E58" s="194"/>
      <c r="F58" s="195"/>
      <c r="G58" s="201"/>
      <c r="K58" s="53"/>
    </row>
    <row r="59" spans="1:11" s="33" customFormat="1" ht="11.25" customHeight="1" x14ac:dyDescent="0.2">
      <c r="A59" s="315" t="s">
        <v>47</v>
      </c>
      <c r="B59" s="316"/>
      <c r="C59" s="317"/>
      <c r="D59" s="326" t="s">
        <v>48</v>
      </c>
      <c r="E59" s="327"/>
      <c r="F59" s="327"/>
      <c r="G59" s="328"/>
      <c r="K59" s="53"/>
    </row>
    <row r="60" spans="1:11" s="33" customFormat="1" ht="11.25" customHeight="1" x14ac:dyDescent="0.2">
      <c r="A60" s="54"/>
      <c r="K60" s="53"/>
    </row>
    <row r="61" spans="1:11" s="33" customFormat="1" ht="11.25" customHeight="1" x14ac:dyDescent="0.2">
      <c r="A61" s="54"/>
      <c r="K61" s="53"/>
    </row>
    <row r="62" spans="1:11" s="33" customFormat="1" ht="11.25" customHeight="1" x14ac:dyDescent="0.2">
      <c r="A62" s="70" t="s">
        <v>49</v>
      </c>
      <c r="B62" s="64"/>
      <c r="E62" s="65"/>
      <c r="K62" s="53"/>
    </row>
    <row r="63" spans="1:11" s="33" customFormat="1" ht="11.25" customHeight="1" x14ac:dyDescent="0.2">
      <c r="A63" s="206" t="s">
        <v>50</v>
      </c>
      <c r="B63" s="206" t="s">
        <v>51</v>
      </c>
      <c r="C63" s="128">
        <f>($D$34-0.2)</f>
        <v>2.8</v>
      </c>
      <c r="D63" s="66" t="s">
        <v>52</v>
      </c>
      <c r="E63" s="66"/>
      <c r="K63" s="53"/>
    </row>
    <row r="64" spans="1:11" s="33" customFormat="1" ht="11.25" customHeight="1" x14ac:dyDescent="0.2">
      <c r="A64" s="67" t="s">
        <v>53</v>
      </c>
      <c r="B64" s="67" t="s">
        <v>54</v>
      </c>
      <c r="C64" s="206">
        <v>0.2</v>
      </c>
      <c r="D64" s="66" t="s">
        <v>52</v>
      </c>
      <c r="K64" s="53"/>
    </row>
    <row r="65" spans="1:11" s="33" customFormat="1" ht="11.25" customHeight="1" x14ac:dyDescent="0.2">
      <c r="A65" s="207" t="s">
        <v>55</v>
      </c>
      <c r="B65" s="179">
        <f>($C$34)/($C$64)</f>
        <v>15</v>
      </c>
      <c r="C65" s="68"/>
      <c r="K65" s="53"/>
    </row>
    <row r="66" spans="1:11" s="33" customFormat="1" ht="11.25" customHeight="1" x14ac:dyDescent="0.2">
      <c r="A66" s="93"/>
      <c r="B66" s="177"/>
      <c r="C66" s="178"/>
      <c r="K66" s="53"/>
    </row>
    <row r="67" spans="1:11" s="33" customFormat="1" ht="11.25" customHeight="1" x14ac:dyDescent="0.2">
      <c r="A67" s="54"/>
      <c r="K67" s="53"/>
    </row>
    <row r="68" spans="1:11" s="33" customFormat="1" ht="11.25" customHeight="1" x14ac:dyDescent="0.2">
      <c r="A68" s="70" t="s">
        <v>56</v>
      </c>
      <c r="B68" s="64"/>
      <c r="E68" s="65"/>
      <c r="K68" s="53"/>
    </row>
    <row r="69" spans="1:11" s="33" customFormat="1" ht="11.25" customHeight="1" x14ac:dyDescent="0.2">
      <c r="A69" s="206" t="s">
        <v>50</v>
      </c>
      <c r="B69" s="206" t="s">
        <v>51</v>
      </c>
      <c r="C69" s="128">
        <f>($C$34-0.2)</f>
        <v>2.8</v>
      </c>
      <c r="D69" s="66" t="s">
        <v>52</v>
      </c>
      <c r="E69" s="66"/>
      <c r="K69" s="53"/>
    </row>
    <row r="70" spans="1:11" s="33" customFormat="1" ht="11.25" customHeight="1" x14ac:dyDescent="0.2">
      <c r="A70" s="67" t="s">
        <v>53</v>
      </c>
      <c r="B70" s="67" t="s">
        <v>54</v>
      </c>
      <c r="C70" s="206">
        <v>0.2</v>
      </c>
      <c r="D70" s="66" t="s">
        <v>52</v>
      </c>
      <c r="K70" s="53"/>
    </row>
    <row r="71" spans="1:11" s="33" customFormat="1" ht="11.25" customHeight="1" x14ac:dyDescent="0.2">
      <c r="A71" s="207" t="s">
        <v>55</v>
      </c>
      <c r="B71" s="179">
        <f>($D$34)/($C$70)</f>
        <v>15</v>
      </c>
      <c r="C71" s="68"/>
      <c r="K71" s="53"/>
    </row>
    <row r="72" spans="1:11" s="33" customFormat="1" ht="11.25" customHeight="1" x14ac:dyDescent="0.2">
      <c r="A72" s="54"/>
      <c r="D72" s="162"/>
      <c r="E72" s="162"/>
      <c r="F72" s="162"/>
      <c r="G72" s="162"/>
      <c r="H72" s="47"/>
      <c r="I72" s="47"/>
      <c r="J72" s="332"/>
      <c r="K72" s="333"/>
    </row>
    <row r="73" spans="1:11" s="33" customFormat="1" ht="11.25" customHeight="1" x14ac:dyDescent="0.2">
      <c r="A73" s="54"/>
      <c r="I73" s="47"/>
      <c r="K73" s="53"/>
    </row>
    <row r="74" spans="1:11" s="33" customFormat="1" ht="11.25" customHeight="1" x14ac:dyDescent="0.2">
      <c r="A74" s="54"/>
      <c r="K74" s="53"/>
    </row>
    <row r="75" spans="1:11" s="33" customFormat="1" ht="11.25" customHeight="1" x14ac:dyDescent="0.25">
      <c r="A75" s="93"/>
      <c r="B75"/>
      <c r="C75"/>
      <c r="D75"/>
      <c r="E75"/>
      <c r="F75"/>
      <c r="G75" s="3"/>
      <c r="H75" s="3"/>
      <c r="I75" s="3"/>
      <c r="J75" s="3"/>
      <c r="K75" s="204"/>
    </row>
    <row r="76" spans="1:11" s="33" customFormat="1" ht="11.25" customHeight="1" x14ac:dyDescent="0.2">
      <c r="A76" s="54"/>
      <c r="D76" s="44"/>
      <c r="I76" s="44"/>
      <c r="K76" s="53"/>
    </row>
    <row r="77" spans="1:11" s="33" customFormat="1" ht="11.25" customHeight="1" x14ac:dyDescent="0.2">
      <c r="A77" s="186"/>
      <c r="B77" s="4"/>
      <c r="K77" s="53"/>
    </row>
    <row r="78" spans="1:11" s="33" customFormat="1" ht="11.25" customHeight="1" x14ac:dyDescent="0.2">
      <c r="A78" s="186"/>
      <c r="B78" s="162"/>
      <c r="C78" s="162"/>
      <c r="D78" s="162"/>
      <c r="E78" s="162"/>
      <c r="F78" s="162"/>
      <c r="G78" s="47"/>
      <c r="H78" s="47"/>
      <c r="J78" s="47"/>
      <c r="K78" s="46"/>
    </row>
    <row r="79" spans="1:11" s="33" customFormat="1" ht="11.25" customHeight="1" x14ac:dyDescent="0.2">
      <c r="A79" s="54"/>
      <c r="D79" s="162"/>
      <c r="E79" s="162"/>
      <c r="F79" s="162"/>
      <c r="G79" s="162"/>
      <c r="H79" s="162"/>
      <c r="K79" s="53"/>
    </row>
    <row r="80" spans="1:11" s="33" customFormat="1" ht="11.25" customHeight="1" x14ac:dyDescent="0.2">
      <c r="A80" s="54"/>
      <c r="B80" s="175"/>
      <c r="C80" s="175"/>
      <c r="D80" s="175"/>
      <c r="E80" s="175"/>
      <c r="F80" s="175"/>
      <c r="H80" s="176"/>
      <c r="I80" s="176"/>
      <c r="J80" s="176"/>
      <c r="K80" s="53"/>
    </row>
    <row r="81" spans="1:11" s="33" customFormat="1" ht="11.25" customHeight="1" x14ac:dyDescent="0.2">
      <c r="A81" s="54"/>
      <c r="K81" s="53"/>
    </row>
    <row r="82" spans="1:11" s="33" customFormat="1" ht="11.25" customHeight="1" x14ac:dyDescent="0.2">
      <c r="A82" s="54"/>
      <c r="E82" s="59"/>
      <c r="F82" s="142"/>
      <c r="G82" s="44"/>
      <c r="K82" s="53"/>
    </row>
    <row r="83" spans="1:11" s="33" customFormat="1" ht="11.25" customHeight="1" x14ac:dyDescent="0.2">
      <c r="A83" s="54"/>
      <c r="E83" s="59"/>
      <c r="F83" s="44"/>
      <c r="G83" s="44"/>
      <c r="K83" s="53"/>
    </row>
    <row r="84" spans="1:11" s="33" customFormat="1" ht="11.25" customHeight="1" x14ac:dyDescent="0.2">
      <c r="A84" s="54"/>
      <c r="E84" s="59"/>
      <c r="F84" s="44"/>
      <c r="G84" s="44"/>
      <c r="K84" s="53"/>
    </row>
    <row r="85" spans="1:11" s="33" customFormat="1" ht="11.25" customHeight="1" x14ac:dyDescent="0.2">
      <c r="A85" s="54"/>
      <c r="E85" s="59"/>
      <c r="F85" s="44"/>
      <c r="G85" s="63"/>
      <c r="H85" s="45"/>
      <c r="K85" s="53"/>
    </row>
    <row r="86" spans="1:11" s="33" customFormat="1" ht="11.25" customHeight="1" x14ac:dyDescent="0.2">
      <c r="A86" s="54"/>
      <c r="E86" s="59"/>
      <c r="F86" s="44"/>
      <c r="G86" s="63"/>
      <c r="H86" s="45"/>
      <c r="K86" s="53"/>
    </row>
    <row r="87" spans="1:11" s="33" customFormat="1" ht="11.25" customHeight="1" x14ac:dyDescent="0.2">
      <c r="A87" s="54"/>
      <c r="E87" s="59"/>
      <c r="F87" s="44"/>
      <c r="G87" s="63"/>
      <c r="H87" s="45"/>
      <c r="K87" s="53"/>
    </row>
    <row r="88" spans="1:11" s="33" customFormat="1" ht="11.25" customHeight="1" x14ac:dyDescent="0.2">
      <c r="A88" s="54"/>
      <c r="E88" s="59"/>
      <c r="F88" s="44"/>
      <c r="G88" s="63"/>
      <c r="H88" s="45"/>
      <c r="K88" s="53"/>
    </row>
    <row r="89" spans="1:11" s="33" customFormat="1" ht="11.25" customHeight="1" x14ac:dyDescent="0.2">
      <c r="A89" s="54"/>
      <c r="E89" s="59"/>
      <c r="F89" s="44"/>
      <c r="G89" s="63"/>
      <c r="H89" s="45"/>
      <c r="K89" s="53"/>
    </row>
    <row r="90" spans="1:11" s="33" customFormat="1" ht="11.25" customHeight="1" x14ac:dyDescent="0.2">
      <c r="A90" s="54"/>
      <c r="E90" s="59"/>
      <c r="F90" s="44"/>
      <c r="G90" s="63"/>
      <c r="H90" s="45"/>
      <c r="K90" s="53"/>
    </row>
    <row r="91" spans="1:11" s="33" customFormat="1" ht="11.25" customHeight="1" x14ac:dyDescent="0.2">
      <c r="A91" s="54"/>
      <c r="E91" s="59"/>
      <c r="F91" s="44"/>
      <c r="G91" s="63"/>
      <c r="H91" s="45"/>
      <c r="K91" s="53"/>
    </row>
    <row r="92" spans="1:11" s="33" customFormat="1" ht="11.25" customHeight="1" x14ac:dyDescent="0.2">
      <c r="A92" s="54"/>
      <c r="E92" s="59"/>
      <c r="F92" s="44"/>
      <c r="G92" s="63"/>
      <c r="H92" s="45"/>
      <c r="K92" s="53"/>
    </row>
    <row r="93" spans="1:11" s="33" customFormat="1" ht="11.25" customHeight="1" x14ac:dyDescent="0.2">
      <c r="A93" s="54"/>
      <c r="E93" s="59"/>
      <c r="F93" s="44"/>
      <c r="G93" s="63"/>
      <c r="H93" s="45"/>
      <c r="K93" s="53"/>
    </row>
    <row r="94" spans="1:11" s="33" customFormat="1" ht="11.25" customHeight="1" x14ac:dyDescent="0.2">
      <c r="A94" s="54"/>
      <c r="E94" s="59"/>
      <c r="F94" s="44"/>
      <c r="G94" s="44"/>
      <c r="K94" s="53"/>
    </row>
    <row r="95" spans="1:11" s="33" customFormat="1" ht="11.25" customHeight="1" x14ac:dyDescent="0.2">
      <c r="A95" s="54"/>
      <c r="E95" s="59"/>
      <c r="F95" s="44"/>
      <c r="G95" s="44"/>
      <c r="K95" s="53"/>
    </row>
    <row r="96" spans="1:11" s="33" customFormat="1" ht="11.25" customHeight="1" x14ac:dyDescent="0.2">
      <c r="A96" s="145"/>
      <c r="B96" s="56"/>
      <c r="C96" s="56"/>
      <c r="D96" s="56"/>
      <c r="E96" s="187"/>
      <c r="F96" s="154"/>
      <c r="G96" s="188"/>
      <c r="H96" s="56"/>
      <c r="I96" s="56"/>
      <c r="J96" s="56"/>
      <c r="K96" s="58"/>
    </row>
    <row r="97" spans="1:11" s="33" customFormat="1" ht="11.25" customHeight="1" x14ac:dyDescent="0.2">
      <c r="A97" s="158" t="s">
        <v>57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41"/>
    </row>
    <row r="98" spans="1:11" s="33" customFormat="1" ht="11.25" customHeight="1" x14ac:dyDescent="0.2">
      <c r="A98" s="52"/>
      <c r="K98" s="53"/>
    </row>
    <row r="99" spans="1:11" s="33" customFormat="1" ht="11.25" customHeight="1" x14ac:dyDescent="0.2">
      <c r="A99" s="52"/>
      <c r="K99" s="53"/>
    </row>
    <row r="100" spans="1:11" s="33" customFormat="1" ht="11.25" customHeight="1" x14ac:dyDescent="0.2">
      <c r="A100" s="52" t="s">
        <v>58</v>
      </c>
      <c r="K100" s="53"/>
    </row>
    <row r="101" spans="1:11" s="33" customFormat="1" ht="11.25" customHeight="1" x14ac:dyDescent="0.2">
      <c r="A101" s="52"/>
      <c r="K101" s="53"/>
    </row>
    <row r="102" spans="1:11" s="33" customFormat="1" ht="11.25" customHeight="1" x14ac:dyDescent="0.2">
      <c r="A102" s="70"/>
      <c r="K102" s="53"/>
    </row>
    <row r="103" spans="1:11" s="33" customFormat="1" ht="15" customHeight="1" x14ac:dyDescent="0.35">
      <c r="A103" s="54"/>
      <c r="B103" s="345" t="s">
        <v>59</v>
      </c>
      <c r="C103" s="345"/>
      <c r="D103" s="345"/>
      <c r="E103" s="345"/>
      <c r="F103" s="63" t="s">
        <v>60</v>
      </c>
      <c r="K103" s="53"/>
    </row>
    <row r="104" spans="1:11" s="33" customFormat="1" ht="11.25" customHeight="1" x14ac:dyDescent="0.2">
      <c r="A104" s="54"/>
      <c r="B104" s="71"/>
      <c r="C104" s="71"/>
      <c r="D104" s="71"/>
      <c r="K104" s="53"/>
    </row>
    <row r="105" spans="1:11" s="33" customFormat="1" ht="15" customHeight="1" x14ac:dyDescent="0.35">
      <c r="A105" s="54"/>
      <c r="B105" s="346" t="s">
        <v>61</v>
      </c>
      <c r="C105" s="346"/>
      <c r="D105" s="346"/>
      <c r="E105" s="346"/>
      <c r="F105" s="63" t="s">
        <v>62</v>
      </c>
      <c r="K105" s="53"/>
    </row>
    <row r="106" spans="1:11" s="33" customFormat="1" ht="11.25" customHeight="1" x14ac:dyDescent="0.25">
      <c r="A106" s="54"/>
      <c r="B106" s="73"/>
      <c r="C106" s="73"/>
      <c r="D106" s="73"/>
      <c r="E106" s="63"/>
      <c r="K106" s="53"/>
    </row>
    <row r="107" spans="1:11" s="33" customFormat="1" ht="15" customHeight="1" x14ac:dyDescent="0.35">
      <c r="A107" s="54"/>
      <c r="B107" s="346" t="s">
        <v>63</v>
      </c>
      <c r="C107" s="346"/>
      <c r="D107" s="346"/>
      <c r="E107" s="47"/>
      <c r="F107" s="47" t="s">
        <v>64</v>
      </c>
      <c r="H107" s="74"/>
      <c r="K107" s="53"/>
    </row>
    <row r="108" spans="1:11" s="33" customFormat="1" ht="11.25" customHeight="1" x14ac:dyDescent="0.25">
      <c r="A108" s="54"/>
      <c r="B108" s="73"/>
      <c r="C108" s="73"/>
      <c r="D108" s="4"/>
      <c r="K108" s="53"/>
    </row>
    <row r="109" spans="1:11" s="33" customFormat="1" ht="18.75" customHeight="1" x14ac:dyDescent="0.2">
      <c r="A109" s="330" t="s">
        <v>65</v>
      </c>
      <c r="B109" s="331"/>
      <c r="C109" s="329" t="s">
        <v>66</v>
      </c>
      <c r="D109" s="329"/>
      <c r="E109" s="329"/>
      <c r="K109" s="53"/>
    </row>
    <row r="110" spans="1:11" s="33" customFormat="1" ht="11.25" customHeight="1" x14ac:dyDescent="0.2">
      <c r="A110" s="203"/>
      <c r="B110" s="45"/>
      <c r="C110" s="183"/>
      <c r="D110" s="183"/>
      <c r="E110" s="183"/>
      <c r="K110" s="53"/>
    </row>
    <row r="111" spans="1:11" s="3" customFormat="1" ht="11.25" customHeight="1" x14ac:dyDescent="0.2">
      <c r="A111" s="29" t="s">
        <v>67</v>
      </c>
      <c r="D111" s="184">
        <f>$C$36</f>
        <v>118.11023622047244</v>
      </c>
      <c r="E111" s="70" t="s">
        <v>68</v>
      </c>
      <c r="F111" s="75"/>
      <c r="G111" s="33"/>
      <c r="K111" s="6"/>
    </row>
    <row r="112" spans="1:11" s="3" customFormat="1" ht="11.25" customHeight="1" x14ac:dyDescent="0.2">
      <c r="A112" s="29" t="s">
        <v>69</v>
      </c>
      <c r="D112" s="184">
        <v>3674288</v>
      </c>
      <c r="E112" s="70" t="s">
        <v>70</v>
      </c>
      <c r="F112" s="77"/>
      <c r="G112" s="33"/>
      <c r="H112" s="33"/>
      <c r="I112" s="222"/>
      <c r="K112" s="6"/>
    </row>
    <row r="113" spans="1:11" s="3" customFormat="1" ht="11.25" customHeight="1" x14ac:dyDescent="0.2">
      <c r="A113" s="29" t="s">
        <v>71</v>
      </c>
      <c r="D113" s="78">
        <f>$E$36</f>
        <v>7.0866141732283463</v>
      </c>
      <c r="E113" s="70" t="s">
        <v>68</v>
      </c>
      <c r="F113" s="79"/>
      <c r="G113" s="33"/>
      <c r="K113" s="6"/>
    </row>
    <row r="114" spans="1:11" s="3" customFormat="1" ht="11.25" customHeight="1" x14ac:dyDescent="0.25">
      <c r="A114" s="80" t="s">
        <v>72</v>
      </c>
      <c r="D114" s="207">
        <v>0.15</v>
      </c>
      <c r="E114" s="130" t="s">
        <v>0</v>
      </c>
      <c r="F114" s="49"/>
      <c r="G114" s="81"/>
      <c r="K114" s="6"/>
    </row>
    <row r="115" spans="1:11" s="3" customFormat="1" ht="11.25" customHeight="1" x14ac:dyDescent="0.2">
      <c r="A115" s="29" t="s">
        <v>73</v>
      </c>
      <c r="D115" s="76">
        <v>135.55000000000001</v>
      </c>
      <c r="E115" s="131" t="s">
        <v>74</v>
      </c>
      <c r="F115" s="77"/>
      <c r="G115" s="7"/>
      <c r="K115" s="6"/>
    </row>
    <row r="116" spans="1:11" s="3" customFormat="1" ht="15" customHeight="1" x14ac:dyDescent="0.3">
      <c r="A116" s="29" t="s">
        <v>75</v>
      </c>
      <c r="D116" s="78">
        <f>(($D$112*$D$113^3)/(12*(1-$D$114^2)*$D$115))^0.25</f>
        <v>30.114316219332462</v>
      </c>
      <c r="E116" s="70" t="s">
        <v>68</v>
      </c>
      <c r="F116" s="75"/>
      <c r="G116" s="33"/>
      <c r="K116" s="6"/>
    </row>
    <row r="117" spans="1:11" s="3" customFormat="1" ht="11.25" customHeight="1" x14ac:dyDescent="0.2">
      <c r="A117" s="29"/>
      <c r="D117" s="83"/>
      <c r="K117" s="6"/>
    </row>
    <row r="118" spans="1:11" s="3" customFormat="1" ht="11.25" customHeight="1" x14ac:dyDescent="0.2">
      <c r="A118" s="29"/>
      <c r="D118" s="83"/>
      <c r="K118" s="6"/>
    </row>
    <row r="119" spans="1:11" s="33" customFormat="1" ht="11.25" customHeight="1" x14ac:dyDescent="0.2">
      <c r="A119" s="54"/>
      <c r="D119" s="323" t="s">
        <v>76</v>
      </c>
      <c r="E119" s="324"/>
      <c r="K119" s="53"/>
    </row>
    <row r="120" spans="1:11" s="33" customFormat="1" ht="16.5" customHeight="1" x14ac:dyDescent="0.3">
      <c r="A120" s="54"/>
      <c r="B120" s="148" t="s">
        <v>77</v>
      </c>
      <c r="C120" s="76">
        <f>$D$111/$D$116</f>
        <v>3.9220626947076194</v>
      </c>
      <c r="D120" s="110" t="s">
        <v>78</v>
      </c>
      <c r="E120" s="84">
        <v>0.21</v>
      </c>
      <c r="F120" s="86" t="s">
        <v>79</v>
      </c>
      <c r="G120" s="85">
        <v>6.0000000000000002E-6</v>
      </c>
      <c r="H120" s="207" t="s">
        <v>80</v>
      </c>
      <c r="I120" s="325" t="s">
        <v>81</v>
      </c>
      <c r="J120" s="325"/>
      <c r="K120" s="325"/>
    </row>
    <row r="121" spans="1:11" s="33" customFormat="1" ht="15" customHeight="1" x14ac:dyDescent="0.3">
      <c r="A121" s="54"/>
      <c r="B121" s="148" t="s">
        <v>82</v>
      </c>
      <c r="C121" s="76">
        <f>$D$36/$D$116</f>
        <v>3.9220626947076194</v>
      </c>
      <c r="D121" s="110" t="s">
        <v>83</v>
      </c>
      <c r="E121" s="207">
        <v>0.21</v>
      </c>
      <c r="F121" s="86" t="s">
        <v>84</v>
      </c>
      <c r="G121" s="87">
        <v>9</v>
      </c>
      <c r="H121" s="207" t="s">
        <v>85</v>
      </c>
      <c r="I121" s="325" t="s">
        <v>86</v>
      </c>
      <c r="J121" s="325"/>
      <c r="K121" s="325"/>
    </row>
    <row r="122" spans="1:11" s="33" customFormat="1" ht="11.25" customHeight="1" x14ac:dyDescent="0.2">
      <c r="A122" s="54"/>
      <c r="K122" s="53"/>
    </row>
    <row r="123" spans="1:11" s="33" customFormat="1" ht="18" customHeight="1" x14ac:dyDescent="0.25">
      <c r="A123" s="88"/>
      <c r="B123" s="89"/>
      <c r="C123" s="90"/>
      <c r="D123" s="91" t="s">
        <v>87</v>
      </c>
      <c r="E123" s="92">
        <f>((($D$112*$G$120*$G$121)/(2*(1-$D$114^2)))*($E$120+($D$114*$E$121)))*$E$36</f>
        <v>173.69052027790642</v>
      </c>
      <c r="F123" s="129" t="s">
        <v>88</v>
      </c>
      <c r="K123" s="53"/>
    </row>
    <row r="124" spans="1:11" s="33" customFormat="1" ht="11.25" customHeight="1" x14ac:dyDescent="0.2">
      <c r="A124" s="93"/>
      <c r="B124" s="49"/>
      <c r="D124" s="94"/>
      <c r="E124" s="95"/>
      <c r="F124" s="66"/>
      <c r="K124" s="53"/>
    </row>
    <row r="125" spans="1:11" s="33" customFormat="1" ht="18" customHeight="1" x14ac:dyDescent="0.25">
      <c r="A125" s="88"/>
      <c r="B125" s="89"/>
      <c r="C125" s="90"/>
      <c r="D125" s="91" t="s">
        <v>89</v>
      </c>
      <c r="E125" s="92">
        <f>((($D$112*$G$120*$G$121)/(2*(1-$D$114^2)))*($E$121+($D$114*$E$120)))*$E$36</f>
        <v>173.69052027790642</v>
      </c>
      <c r="F125" s="129" t="s">
        <v>88</v>
      </c>
      <c r="K125" s="53"/>
    </row>
    <row r="126" spans="1:11" s="33" customFormat="1" ht="11.25" customHeight="1" x14ac:dyDescent="0.2">
      <c r="A126" s="93"/>
      <c r="B126" s="49"/>
      <c r="D126" s="94"/>
      <c r="E126" s="95"/>
      <c r="F126" s="66"/>
      <c r="K126" s="53"/>
    </row>
    <row r="127" spans="1:11" s="33" customFormat="1" ht="18" customHeight="1" x14ac:dyDescent="0.2">
      <c r="A127" s="88"/>
      <c r="B127" s="89"/>
      <c r="D127" s="91" t="s">
        <v>90</v>
      </c>
      <c r="E127" s="92">
        <f>($E$120*$D$112*$G$120*$G$121/2)*$E$36</f>
        <v>147.63694223622048</v>
      </c>
      <c r="F127" s="129" t="s">
        <v>88</v>
      </c>
      <c r="K127" s="53"/>
    </row>
    <row r="128" spans="1:11" s="33" customFormat="1" ht="11.25" customHeight="1" x14ac:dyDescent="0.2">
      <c r="A128" s="54"/>
      <c r="D128" s="49"/>
      <c r="E128" s="96"/>
      <c r="F128" s="66"/>
      <c r="K128" s="53"/>
    </row>
    <row r="129" spans="1:11" s="33" customFormat="1" ht="18" customHeight="1" x14ac:dyDescent="0.2">
      <c r="A129" s="54"/>
      <c r="D129" s="91" t="s">
        <v>90</v>
      </c>
      <c r="E129" s="92">
        <f>($E$121*$D$112*$G$120*$G$121/2)*$E$36</f>
        <v>147.63694223622048</v>
      </c>
      <c r="F129" s="129" t="s">
        <v>88</v>
      </c>
      <c r="K129" s="53"/>
    </row>
    <row r="130" spans="1:11" s="33" customFormat="1" ht="11.25" customHeight="1" x14ac:dyDescent="0.2">
      <c r="A130" s="54"/>
      <c r="K130" s="53"/>
    </row>
    <row r="131" spans="1:11" s="33" customFormat="1" ht="11.25" customHeight="1" x14ac:dyDescent="0.2">
      <c r="A131" s="54"/>
      <c r="K131" s="53"/>
    </row>
    <row r="132" spans="1:11" ht="11.25" customHeight="1" x14ac:dyDescent="0.25">
      <c r="A132" s="52" t="s">
        <v>91</v>
      </c>
      <c r="K132" s="1"/>
    </row>
    <row r="133" spans="1:11" ht="11.25" customHeight="1" x14ac:dyDescent="0.25">
      <c r="A133" s="52"/>
      <c r="K133" s="1"/>
    </row>
    <row r="134" spans="1:11" ht="11.25" customHeight="1" x14ac:dyDescent="0.25">
      <c r="A134" s="52"/>
      <c r="K134" s="1"/>
    </row>
    <row r="135" spans="1:11" ht="21.75" x14ac:dyDescent="0.25">
      <c r="A135" s="100"/>
      <c r="B135" s="347" t="s">
        <v>92</v>
      </c>
      <c r="C135" s="347"/>
      <c r="D135" s="347"/>
      <c r="E135" s="347"/>
      <c r="F135" s="55" t="s">
        <v>93</v>
      </c>
      <c r="K135" s="1"/>
    </row>
    <row r="136" spans="1:11" s="3" customFormat="1" ht="11.25" customHeight="1" x14ac:dyDescent="0.2">
      <c r="A136" s="29"/>
      <c r="E136" s="4"/>
      <c r="K136" s="6"/>
    </row>
    <row r="137" spans="1:11" s="3" customFormat="1" ht="21.75" x14ac:dyDescent="0.2">
      <c r="A137" s="82"/>
      <c r="B137" s="347" t="s">
        <v>94</v>
      </c>
      <c r="C137" s="347"/>
      <c r="D137" s="347"/>
      <c r="E137" s="347"/>
      <c r="F137" s="55" t="s">
        <v>95</v>
      </c>
      <c r="K137" s="6"/>
    </row>
    <row r="138" spans="1:11" s="3" customFormat="1" ht="11.25" customHeight="1" x14ac:dyDescent="0.2">
      <c r="A138" s="29"/>
      <c r="K138" s="6"/>
    </row>
    <row r="139" spans="1:11" s="3" customFormat="1" ht="15" customHeight="1" x14ac:dyDescent="0.2">
      <c r="A139" s="189"/>
      <c r="B139" s="198"/>
      <c r="C139" s="121" t="s">
        <v>96</v>
      </c>
      <c r="D139" s="342" t="s">
        <v>97</v>
      </c>
      <c r="E139" s="343"/>
      <c r="F139" s="343"/>
      <c r="G139" s="343"/>
      <c r="H139" s="343"/>
      <c r="I139" s="190">
        <f>2.38*($D$148*$D$116)^0.5</f>
        <v>47.842548929605485</v>
      </c>
      <c r="J139" s="159" t="s">
        <v>68</v>
      </c>
      <c r="K139" s="115"/>
    </row>
    <row r="140" spans="1:11" s="3" customFormat="1" ht="35.25" customHeight="1" x14ac:dyDescent="0.2">
      <c r="A140" s="191"/>
      <c r="B140" s="50"/>
      <c r="C140" s="207" t="s">
        <v>98</v>
      </c>
      <c r="D140" s="76">
        <f>K140*2.205</f>
        <v>24255</v>
      </c>
      <c r="E140" s="356" t="s">
        <v>158</v>
      </c>
      <c r="F140" s="357"/>
      <c r="G140" s="357"/>
      <c r="H140" s="357"/>
      <c r="I140" s="358"/>
      <c r="J140" s="101" t="s">
        <v>99</v>
      </c>
      <c r="K140" s="207">
        <f>22*1000/2</f>
        <v>11000</v>
      </c>
    </row>
    <row r="141" spans="1:11" s="3" customFormat="1" ht="11.25" customHeight="1" x14ac:dyDescent="0.2">
      <c r="A141" s="29"/>
      <c r="K141" s="6"/>
    </row>
    <row r="142" spans="1:11" s="3" customFormat="1" ht="11.25" customHeight="1" x14ac:dyDescent="0.2">
      <c r="A142" s="29"/>
      <c r="B142" s="49"/>
      <c r="C142" s="102" t="s">
        <v>100</v>
      </c>
      <c r="D142" s="207">
        <v>80</v>
      </c>
      <c r="E142" s="4" t="s">
        <v>101</v>
      </c>
      <c r="K142" s="6"/>
    </row>
    <row r="143" spans="1:11" s="3" customFormat="1" ht="11.25" customHeight="1" x14ac:dyDescent="0.2">
      <c r="A143" s="29"/>
      <c r="K143" s="6"/>
    </row>
    <row r="144" spans="1:11" s="3" customFormat="1" ht="11.25" customHeight="1" x14ac:dyDescent="0.2">
      <c r="A144" s="29"/>
      <c r="C144" s="196" t="s">
        <v>102</v>
      </c>
      <c r="D144" s="84">
        <v>12.76</v>
      </c>
      <c r="E144" s="4" t="s">
        <v>103</v>
      </c>
      <c r="K144" s="6"/>
    </row>
    <row r="145" spans="1:12" s="3" customFormat="1" ht="11.25" customHeight="1" x14ac:dyDescent="0.2">
      <c r="A145" s="29"/>
      <c r="C145" s="104"/>
      <c r="D145" s="75"/>
      <c r="E145" s="4"/>
      <c r="K145" s="6"/>
    </row>
    <row r="146" spans="1:12" s="3" customFormat="1" ht="11.25" customHeight="1" x14ac:dyDescent="0.2">
      <c r="A146" s="29"/>
      <c r="C146" s="359" t="s">
        <v>104</v>
      </c>
      <c r="D146" s="359"/>
      <c r="E146" s="359"/>
      <c r="F146" s="359"/>
      <c r="G146" s="4" t="s">
        <v>105</v>
      </c>
      <c r="K146" s="6"/>
    </row>
    <row r="147" spans="1:12" s="3" customFormat="1" ht="11.25" customHeight="1" x14ac:dyDescent="0.2">
      <c r="A147" s="29"/>
      <c r="K147" s="6"/>
    </row>
    <row r="148" spans="1:12" s="3" customFormat="1" ht="11.25" customHeight="1" x14ac:dyDescent="0.2">
      <c r="A148" s="93"/>
      <c r="B148" s="44"/>
      <c r="C148" s="207" t="s">
        <v>1</v>
      </c>
      <c r="D148" s="105">
        <f>((0.8521*D140/(D142*3.1416))+(D144/3.1416)*(D140/(0.5227*D142))^0.5)^0.5</f>
        <v>13.418429811636141</v>
      </c>
      <c r="E148" s="69" t="s">
        <v>68</v>
      </c>
      <c r="K148" s="6"/>
      <c r="L148" s="4"/>
    </row>
    <row r="149" spans="1:12" s="3" customFormat="1" ht="11.25" customHeight="1" x14ac:dyDescent="0.2">
      <c r="A149" s="29"/>
      <c r="E149" s="66"/>
      <c r="K149" s="6"/>
    </row>
    <row r="150" spans="1:12" ht="18" customHeight="1" x14ac:dyDescent="0.25">
      <c r="A150" s="88"/>
      <c r="B150" s="89"/>
      <c r="C150" s="91" t="s">
        <v>106</v>
      </c>
      <c r="D150" s="106">
        <f>(3*$D$140/$E$36^2)*(1-($D$148*(2^0.5)/$D$116)^0.6)</f>
        <v>350.64664881879077</v>
      </c>
      <c r="E150" s="129" t="s">
        <v>88</v>
      </c>
      <c r="G150" s="107"/>
      <c r="H150" s="107"/>
      <c r="I150" s="107"/>
      <c r="K150" s="1"/>
    </row>
    <row r="151" spans="1:12" s="3" customFormat="1" ht="11.25" customHeight="1" x14ac:dyDescent="0.2">
      <c r="A151" s="54"/>
      <c r="B151" s="33"/>
      <c r="C151" s="33"/>
      <c r="D151" s="33"/>
      <c r="E151" s="63"/>
      <c r="K151" s="6"/>
    </row>
    <row r="152" spans="1:12" s="3" customFormat="1" ht="18" customHeight="1" x14ac:dyDescent="0.2">
      <c r="A152" s="93"/>
      <c r="B152" s="49"/>
      <c r="C152" s="91" t="s">
        <v>107</v>
      </c>
      <c r="D152" s="108">
        <f>($D$140/($D$115*$D$116^2))*(1.1-(0.88*($D$148*(2^0.5)/$D$116)))</f>
        <v>0.10762800156108623</v>
      </c>
      <c r="E152" s="69" t="s">
        <v>68</v>
      </c>
      <c r="K152" s="6"/>
    </row>
    <row r="153" spans="1:12" s="3" customFormat="1" ht="11.25" customHeight="1" x14ac:dyDescent="0.2">
      <c r="A153" s="29"/>
      <c r="K153" s="6"/>
    </row>
    <row r="154" spans="1:12" s="3" customFormat="1" ht="11.25" customHeight="1" x14ac:dyDescent="0.2">
      <c r="A154" s="29"/>
      <c r="K154" s="6"/>
    </row>
    <row r="155" spans="1:12" ht="11.25" customHeight="1" x14ac:dyDescent="0.25">
      <c r="A155" s="52" t="s">
        <v>108</v>
      </c>
      <c r="K155" s="1"/>
    </row>
    <row r="156" spans="1:12" ht="11.25" customHeight="1" x14ac:dyDescent="0.25">
      <c r="A156" s="52"/>
      <c r="K156" s="1"/>
    </row>
    <row r="157" spans="1:12" ht="11.25" customHeight="1" x14ac:dyDescent="0.25">
      <c r="A157" s="70"/>
      <c r="K157" s="1"/>
    </row>
    <row r="158" spans="1:12" s="3" customFormat="1" ht="18" customHeight="1" x14ac:dyDescent="0.25">
      <c r="A158" s="100"/>
      <c r="B158" s="109"/>
      <c r="C158" s="348" t="s">
        <v>109</v>
      </c>
      <c r="D158" s="349"/>
      <c r="E158" s="349"/>
      <c r="F158" s="350"/>
      <c r="G158" s="47" t="s">
        <v>110</v>
      </c>
      <c r="K158" s="6"/>
    </row>
    <row r="159" spans="1:12" s="3" customFormat="1" ht="11.25" customHeight="1" x14ac:dyDescent="0.2">
      <c r="A159" s="29"/>
      <c r="K159" s="6"/>
    </row>
    <row r="160" spans="1:12" s="3" customFormat="1" ht="21.75" x14ac:dyDescent="0.35">
      <c r="A160" s="82"/>
      <c r="B160" s="107"/>
      <c r="C160" s="351" t="s">
        <v>111</v>
      </c>
      <c r="D160" s="352"/>
      <c r="E160" s="352"/>
      <c r="F160" s="353"/>
      <c r="G160" s="55" t="s">
        <v>112</v>
      </c>
      <c r="K160" s="6"/>
    </row>
    <row r="161" spans="1:11" s="3" customFormat="1" ht="11.25" customHeight="1" x14ac:dyDescent="0.2">
      <c r="A161" s="29"/>
      <c r="K161" s="6"/>
    </row>
    <row r="162" spans="1:11" s="3" customFormat="1" ht="11.25" customHeight="1" x14ac:dyDescent="0.2">
      <c r="A162" s="93"/>
      <c r="B162" s="49"/>
      <c r="C162" s="122" t="s">
        <v>113</v>
      </c>
      <c r="D162" s="122" t="s">
        <v>114</v>
      </c>
      <c r="E162" s="34">
        <f>0.724*$D$113</f>
        <v>5.130708661417323</v>
      </c>
      <c r="F162" s="69" t="s">
        <v>68</v>
      </c>
      <c r="G162" s="110" t="s">
        <v>115</v>
      </c>
      <c r="H162" s="111" t="s">
        <v>116</v>
      </c>
      <c r="K162" s="6"/>
    </row>
    <row r="163" spans="1:11" s="3" customFormat="1" ht="15" customHeight="1" x14ac:dyDescent="0.2">
      <c r="A163" s="82"/>
      <c r="B163" s="354" t="s">
        <v>117</v>
      </c>
      <c r="C163" s="354"/>
      <c r="D163" s="354"/>
      <c r="E163" s="34">
        <f>(((1.6*$D$148^2)+($D$113^2))^0.5)-(0.675*$D$113)</f>
        <v>13.609656816237177</v>
      </c>
      <c r="F163" s="69" t="s">
        <v>68</v>
      </c>
      <c r="K163" s="6"/>
    </row>
    <row r="164" spans="1:11" s="3" customFormat="1" ht="11.25" customHeight="1" x14ac:dyDescent="0.2">
      <c r="A164" s="29"/>
      <c r="K164" s="6"/>
    </row>
    <row r="165" spans="1:11" s="3" customFormat="1" ht="18" customHeight="1" x14ac:dyDescent="0.35">
      <c r="A165" s="29"/>
      <c r="C165" s="147" t="s">
        <v>118</v>
      </c>
      <c r="D165" s="106">
        <f>(0.316*$D$140/$E$36^2)*(4*LOG($D$116/$E$163)+1.069)</f>
        <v>373.72053023630554</v>
      </c>
      <c r="E165" s="93" t="s">
        <v>88</v>
      </c>
      <c r="K165" s="6"/>
    </row>
    <row r="166" spans="1:11" s="3" customFormat="1" ht="11.25" customHeight="1" x14ac:dyDescent="0.2">
      <c r="A166" s="29"/>
      <c r="C166" s="33"/>
      <c r="D166" s="112"/>
      <c r="E166" s="4"/>
      <c r="K166" s="6"/>
    </row>
    <row r="167" spans="1:11" s="3" customFormat="1" ht="18" customHeight="1" x14ac:dyDescent="0.35">
      <c r="A167" s="29"/>
      <c r="C167" s="147" t="s">
        <v>119</v>
      </c>
      <c r="D167" s="146">
        <f>($D$140/(8*$D$115*$D$116^2))*(1+((2/3.1416)*(LN($D$148/(2*$D$116))-0.673))*($D$148/$D$116)^2)</f>
        <v>1.7885131107377737E-2</v>
      </c>
      <c r="E167" s="49" t="s">
        <v>68</v>
      </c>
      <c r="K167" s="6"/>
    </row>
    <row r="168" spans="1:11" s="3" customFormat="1" ht="11.25" customHeight="1" x14ac:dyDescent="0.2">
      <c r="A168" s="29"/>
      <c r="K168" s="6"/>
    </row>
    <row r="169" spans="1:11" s="3" customFormat="1" ht="11.25" customHeight="1" x14ac:dyDescent="0.2">
      <c r="A169" s="29"/>
      <c r="K169" s="6"/>
    </row>
    <row r="170" spans="1:11" s="3" customFormat="1" ht="11.25" customHeight="1" x14ac:dyDescent="0.2">
      <c r="A170" s="52" t="s">
        <v>120</v>
      </c>
      <c r="K170" s="6"/>
    </row>
    <row r="171" spans="1:11" s="3" customFormat="1" ht="11.25" customHeight="1" x14ac:dyDescent="0.2">
      <c r="A171" s="52"/>
      <c r="K171" s="6"/>
    </row>
    <row r="172" spans="1:11" s="3" customFormat="1" ht="11.25" customHeight="1" x14ac:dyDescent="0.2">
      <c r="A172" s="52"/>
      <c r="K172" s="6"/>
    </row>
    <row r="173" spans="1:11" s="3" customFormat="1" ht="18" customHeight="1" x14ac:dyDescent="0.35">
      <c r="A173" s="29"/>
      <c r="C173" s="340" t="s">
        <v>121</v>
      </c>
      <c r="D173" s="355"/>
      <c r="E173" s="355"/>
      <c r="F173" s="341"/>
      <c r="G173" s="47" t="s">
        <v>122</v>
      </c>
      <c r="K173" s="6"/>
    </row>
    <row r="174" spans="1:11" s="3" customFormat="1" ht="11.25" customHeight="1" x14ac:dyDescent="0.2">
      <c r="A174" s="29"/>
      <c r="K174" s="6"/>
    </row>
    <row r="175" spans="1:11" s="3" customFormat="1" ht="18" customHeight="1" x14ac:dyDescent="0.35">
      <c r="A175" s="29"/>
      <c r="C175" s="337" t="s">
        <v>123</v>
      </c>
      <c r="D175" s="338"/>
      <c r="E175" s="338"/>
      <c r="F175" s="339"/>
      <c r="G175" s="55" t="s">
        <v>112</v>
      </c>
      <c r="K175" s="6"/>
    </row>
    <row r="176" spans="1:11" s="3" customFormat="1" ht="11.25" customHeight="1" x14ac:dyDescent="0.2">
      <c r="A176" s="29"/>
      <c r="K176" s="6"/>
    </row>
    <row r="177" spans="1:11" s="3" customFormat="1" ht="18" customHeight="1" x14ac:dyDescent="0.35">
      <c r="A177" s="29"/>
      <c r="C177" s="147" t="s">
        <v>124</v>
      </c>
      <c r="D177" s="106">
        <f>(0.572*$D$140/$E$36^2)*(4*LOG($D$116/$E$163)-0.359)</f>
        <v>281.98062071861199</v>
      </c>
      <c r="E177" s="93" t="s">
        <v>88</v>
      </c>
      <c r="K177" s="6"/>
    </row>
    <row r="178" spans="1:11" s="3" customFormat="1" ht="11.25" customHeight="1" x14ac:dyDescent="0.2">
      <c r="A178" s="29"/>
      <c r="C178" s="33"/>
      <c r="D178" s="96"/>
      <c r="E178" s="4"/>
      <c r="K178" s="6"/>
    </row>
    <row r="179" spans="1:11" s="3" customFormat="1" ht="18" customHeight="1" x14ac:dyDescent="0.35">
      <c r="A179" s="29"/>
      <c r="C179" s="147" t="s">
        <v>125</v>
      </c>
      <c r="D179" s="108">
        <f>(0.431*$D$140/($D$115*$D$116^2))*(1-(0.82*($D$148/($D$116))))</f>
        <v>5.3969457309550037E-2</v>
      </c>
      <c r="E179" s="49" t="s">
        <v>68</v>
      </c>
      <c r="K179" s="6"/>
    </row>
    <row r="180" spans="1:11" s="3" customFormat="1" ht="11.25" customHeight="1" x14ac:dyDescent="0.2">
      <c r="A180" s="29"/>
      <c r="D180" s="116"/>
      <c r="K180" s="6"/>
    </row>
    <row r="181" spans="1:11" s="3" customFormat="1" ht="11.25" customHeight="1" x14ac:dyDescent="0.2">
      <c r="A181" s="113"/>
      <c r="B181" s="114"/>
      <c r="C181" s="114"/>
      <c r="D181" s="192"/>
      <c r="E181" s="114"/>
      <c r="F181" s="114"/>
      <c r="G181" s="114"/>
      <c r="H181" s="114"/>
      <c r="I181" s="114"/>
      <c r="J181" s="114"/>
      <c r="K181" s="115"/>
    </row>
    <row r="182" spans="1:11" s="3" customFormat="1" ht="11.25" customHeight="1" x14ac:dyDescent="0.2">
      <c r="A182" s="155" t="s">
        <v>126</v>
      </c>
      <c r="B182" s="156"/>
      <c r="C182" s="156"/>
      <c r="D182" s="156"/>
      <c r="E182" s="156"/>
      <c r="F182" s="156"/>
      <c r="G182" s="156"/>
      <c r="H182" s="156"/>
      <c r="I182" s="156"/>
      <c r="J182" s="156"/>
      <c r="K182" s="160"/>
    </row>
    <row r="183" spans="1:11" s="3" customFormat="1" ht="11.25" customHeight="1" x14ac:dyDescent="0.2">
      <c r="A183" s="28"/>
      <c r="K183" s="6"/>
    </row>
    <row r="184" spans="1:11" s="3" customFormat="1" ht="11.25" customHeight="1" x14ac:dyDescent="0.2">
      <c r="A184" s="28"/>
      <c r="K184" s="6"/>
    </row>
    <row r="185" spans="1:11" s="3" customFormat="1" ht="21" customHeight="1" x14ac:dyDescent="0.35">
      <c r="A185" s="100"/>
      <c r="B185" s="109"/>
      <c r="C185" s="109"/>
      <c r="D185" s="340" t="s">
        <v>127</v>
      </c>
      <c r="E185" s="341"/>
      <c r="F185" s="51" t="s">
        <v>128</v>
      </c>
      <c r="I185" s="340" t="s">
        <v>129</v>
      </c>
      <c r="J185" s="341"/>
      <c r="K185" s="185" t="s">
        <v>130</v>
      </c>
    </row>
    <row r="186" spans="1:11" s="3" customFormat="1" ht="11.25" customHeight="1" x14ac:dyDescent="0.2">
      <c r="A186" s="100"/>
      <c r="B186" s="109"/>
      <c r="C186" s="109"/>
      <c r="K186" s="6"/>
    </row>
    <row r="187" spans="1:11" s="3" customFormat="1" ht="18" customHeight="1" x14ac:dyDescent="0.35">
      <c r="A187" s="100"/>
      <c r="B187" s="109"/>
      <c r="C187" s="109"/>
      <c r="D187" s="200" t="s">
        <v>131</v>
      </c>
      <c r="E187" s="84">
        <f>2400*0.0361273/1000</f>
        <v>8.6705520000000008E-2</v>
      </c>
      <c r="F187" s="47" t="s">
        <v>132</v>
      </c>
      <c r="I187" s="202" t="s">
        <v>133</v>
      </c>
      <c r="J187" s="170">
        <f>(E187*D113*E188*E189)/(2*E52)</f>
        <v>7.55965264430529E-5</v>
      </c>
      <c r="K187" s="6" t="s">
        <v>134</v>
      </c>
    </row>
    <row r="188" spans="1:11" s="3" customFormat="1" ht="11.25" customHeight="1" x14ac:dyDescent="0.2">
      <c r="A188" s="100"/>
      <c r="B188" s="109"/>
      <c r="C188" s="109"/>
      <c r="D188" s="207" t="s">
        <v>135</v>
      </c>
      <c r="E188" s="84">
        <f>C36/12</f>
        <v>9.8425196850393704</v>
      </c>
      <c r="F188" s="4" t="s">
        <v>136</v>
      </c>
      <c r="K188" s="6"/>
    </row>
    <row r="189" spans="1:11" s="3" customFormat="1" ht="15" customHeight="1" x14ac:dyDescent="0.3">
      <c r="A189" s="100"/>
      <c r="B189" s="109"/>
      <c r="C189" s="109"/>
      <c r="D189" s="180" t="s">
        <v>137</v>
      </c>
      <c r="E189" s="122">
        <v>1.5</v>
      </c>
      <c r="F189" s="47" t="s">
        <v>138</v>
      </c>
      <c r="K189" s="6"/>
    </row>
    <row r="190" spans="1:11" s="3" customFormat="1" ht="18" customHeight="1" x14ac:dyDescent="0.35">
      <c r="A190" s="100"/>
      <c r="B190" s="109"/>
      <c r="C190" s="109"/>
      <c r="D190" s="147" t="s">
        <v>139</v>
      </c>
      <c r="E190" s="92">
        <f>$E$187*$E$188*$E$189/2</f>
        <v>0.64005059055118119</v>
      </c>
      <c r="F190" s="69" t="s">
        <v>88</v>
      </c>
      <c r="K190" s="6"/>
    </row>
    <row r="191" spans="1:11" s="3" customFormat="1" ht="11.25" customHeight="1" x14ac:dyDescent="0.25">
      <c r="A191" s="100"/>
      <c r="B191" s="109"/>
      <c r="C191" s="109"/>
      <c r="D191" s="181"/>
      <c r="E191" s="182"/>
      <c r="F191" s="69"/>
      <c r="K191" s="6"/>
    </row>
    <row r="192" spans="1:11" s="3" customFormat="1" ht="11.25" customHeight="1" x14ac:dyDescent="0.25">
      <c r="A192" s="100"/>
      <c r="B192" s="109"/>
      <c r="C192" s="109"/>
      <c r="D192" s="181"/>
      <c r="E192" s="182"/>
      <c r="F192" s="69"/>
      <c r="K192" s="6"/>
    </row>
    <row r="193" spans="1:11" s="3" customFormat="1" ht="11.25" customHeight="1" x14ac:dyDescent="0.2">
      <c r="A193" s="28" t="s">
        <v>140</v>
      </c>
      <c r="K193" s="6"/>
    </row>
    <row r="194" spans="1:11" s="3" customFormat="1" ht="11.25" customHeight="1" x14ac:dyDescent="0.2">
      <c r="A194" s="28"/>
      <c r="K194" s="6"/>
    </row>
    <row r="195" spans="1:11" s="3" customFormat="1" ht="11.25" customHeight="1" x14ac:dyDescent="0.2">
      <c r="A195" s="29"/>
      <c r="K195" s="6"/>
    </row>
    <row r="196" spans="1:11" s="3" customFormat="1" ht="56.25" customHeight="1" x14ac:dyDescent="0.2">
      <c r="A196" s="29"/>
      <c r="B196" s="344" t="s">
        <v>141</v>
      </c>
      <c r="C196" s="344"/>
      <c r="D196" s="199" t="s">
        <v>142</v>
      </c>
      <c r="E196" s="199" t="s">
        <v>143</v>
      </c>
      <c r="F196" s="199" t="s">
        <v>144</v>
      </c>
      <c r="G196" s="167"/>
      <c r="K196" s="6"/>
    </row>
    <row r="197" spans="1:11" s="3" customFormat="1" ht="13.5" customHeight="1" x14ac:dyDescent="0.2">
      <c r="A197" s="29"/>
      <c r="B197" s="354" t="s">
        <v>145</v>
      </c>
      <c r="C197" s="354"/>
      <c r="D197" s="149">
        <f>$E$123</f>
        <v>173.69052027790642</v>
      </c>
      <c r="E197" s="334">
        <v>595</v>
      </c>
      <c r="F197" s="149">
        <f>($D$197/$E$197)*100</f>
        <v>29.191684080320407</v>
      </c>
      <c r="G197" s="5"/>
      <c r="K197" s="6"/>
    </row>
    <row r="198" spans="1:11" s="3" customFormat="1" ht="13.5" customHeight="1" x14ac:dyDescent="0.2">
      <c r="A198" s="29"/>
      <c r="B198" s="354" t="s">
        <v>146</v>
      </c>
      <c r="C198" s="354"/>
      <c r="D198" s="149">
        <f>$E$125</f>
        <v>173.69052027790642</v>
      </c>
      <c r="E198" s="360"/>
      <c r="F198" s="149">
        <f>($D$198/$E$197)*100</f>
        <v>29.191684080320407</v>
      </c>
      <c r="G198" s="5"/>
      <c r="K198" s="6"/>
    </row>
    <row r="199" spans="1:11" s="3" customFormat="1" ht="13.5" customHeight="1" x14ac:dyDescent="0.2">
      <c r="A199" s="29"/>
      <c r="B199" s="354" t="s">
        <v>147</v>
      </c>
      <c r="C199" s="354"/>
      <c r="D199" s="149">
        <f>$E$127</f>
        <v>147.63694223622048</v>
      </c>
      <c r="E199" s="360"/>
      <c r="F199" s="149">
        <f>($D$199/$E$197)*100</f>
        <v>24.812931468272346</v>
      </c>
      <c r="G199" s="5"/>
      <c r="K199" s="6"/>
    </row>
    <row r="200" spans="1:11" s="3" customFormat="1" ht="13.5" customHeight="1" x14ac:dyDescent="0.2">
      <c r="A200" s="29"/>
      <c r="B200" s="354" t="s">
        <v>148</v>
      </c>
      <c r="C200" s="354"/>
      <c r="D200" s="149">
        <f>$E$129</f>
        <v>147.63694223622048</v>
      </c>
      <c r="E200" s="361"/>
      <c r="F200" s="149">
        <f>($D$200/$E$197)*100</f>
        <v>24.812931468272346</v>
      </c>
      <c r="G200" s="5"/>
      <c r="K200" s="6"/>
    </row>
    <row r="201" spans="1:11" s="3" customFormat="1" ht="11.25" customHeight="1" x14ac:dyDescent="0.2">
      <c r="A201" s="29"/>
      <c r="K201" s="6"/>
    </row>
    <row r="202" spans="1:11" s="3" customFormat="1" ht="49.5" customHeight="1" x14ac:dyDescent="0.2">
      <c r="A202" s="29"/>
      <c r="B202" s="107"/>
      <c r="C202" s="199" t="s">
        <v>141</v>
      </c>
      <c r="D202" s="199" t="s">
        <v>149</v>
      </c>
      <c r="E202" s="199" t="s">
        <v>143</v>
      </c>
      <c r="F202" s="199" t="s">
        <v>144</v>
      </c>
      <c r="G202" s="167"/>
      <c r="H202" s="117"/>
      <c r="K202" s="6"/>
    </row>
    <row r="203" spans="1:11" s="3" customFormat="1" ht="11.25" customHeight="1" x14ac:dyDescent="0.2">
      <c r="A203" s="29"/>
      <c r="C203" s="150" t="s">
        <v>150</v>
      </c>
      <c r="D203" s="149">
        <f>$D$150</f>
        <v>350.64664881879077</v>
      </c>
      <c r="E203" s="334">
        <v>595</v>
      </c>
      <c r="F203" s="149">
        <f>($D$203/$E$203)*100</f>
        <v>58.932209885511057</v>
      </c>
      <c r="G203" s="168"/>
      <c r="K203" s="6"/>
    </row>
    <row r="204" spans="1:11" s="3" customFormat="1" ht="11.25" customHeight="1" x14ac:dyDescent="0.2">
      <c r="A204" s="29"/>
      <c r="C204" s="150" t="s">
        <v>151</v>
      </c>
      <c r="D204" s="149">
        <f>$D$165</f>
        <v>373.72053023630554</v>
      </c>
      <c r="E204" s="335"/>
      <c r="F204" s="149">
        <f>($D$204/$E$203)*100</f>
        <v>62.810173148958917</v>
      </c>
      <c r="G204" s="168"/>
      <c r="K204" s="6"/>
    </row>
    <row r="205" spans="1:11" s="3" customFormat="1" ht="11.25" customHeight="1" x14ac:dyDescent="0.2">
      <c r="A205" s="29"/>
      <c r="C205" s="150" t="s">
        <v>152</v>
      </c>
      <c r="D205" s="149">
        <f>$D$177</f>
        <v>281.98062071861199</v>
      </c>
      <c r="E205" s="336"/>
      <c r="F205" s="149">
        <f>($D$205/$E$203)*100</f>
        <v>47.391700961111262</v>
      </c>
      <c r="G205" s="168"/>
      <c r="K205" s="6"/>
    </row>
    <row r="206" spans="1:11" s="3" customFormat="1" ht="11.25" customHeight="1" x14ac:dyDescent="0.2">
      <c r="A206" s="29"/>
      <c r="K206" s="6"/>
    </row>
    <row r="207" spans="1:11" s="3" customFormat="1" ht="11.25" customHeight="1" x14ac:dyDescent="0.2">
      <c r="A207" s="29"/>
      <c r="K207" s="6"/>
    </row>
    <row r="208" spans="1:11" s="3" customFormat="1" ht="11.25" customHeight="1" x14ac:dyDescent="0.2">
      <c r="A208" s="28" t="s">
        <v>153</v>
      </c>
      <c r="K208" s="6"/>
    </row>
    <row r="209" spans="1:11" s="3" customFormat="1" ht="11.25" customHeight="1" x14ac:dyDescent="0.2">
      <c r="A209" s="28"/>
      <c r="K209" s="6"/>
    </row>
    <row r="210" spans="1:11" s="3" customFormat="1" ht="11.25" customHeight="1" x14ac:dyDescent="0.2">
      <c r="A210" s="29"/>
      <c r="K210" s="6"/>
    </row>
    <row r="211" spans="1:11" s="3" customFormat="1" ht="23.25" customHeight="1" x14ac:dyDescent="0.2">
      <c r="A211" s="29"/>
      <c r="B211" s="107"/>
      <c r="C211" s="152" t="s">
        <v>141</v>
      </c>
      <c r="D211" s="152" t="s">
        <v>154</v>
      </c>
      <c r="E211" s="152" t="s">
        <v>155</v>
      </c>
      <c r="F211" s="169"/>
      <c r="G211" s="118"/>
      <c r="H211" s="117"/>
      <c r="K211" s="6"/>
    </row>
    <row r="212" spans="1:11" s="3" customFormat="1" ht="11.25" customHeight="1" x14ac:dyDescent="0.2">
      <c r="A212" s="29"/>
      <c r="C212" s="205" t="s">
        <v>150</v>
      </c>
      <c r="D212" s="119">
        <f>$D$152</f>
        <v>0.10762800156108623</v>
      </c>
      <c r="E212" s="120">
        <f>$D$212*25.4</f>
        <v>2.7337512396515904</v>
      </c>
      <c r="F212" s="117"/>
      <c r="K212" s="6"/>
    </row>
    <row r="213" spans="1:11" s="3" customFormat="1" ht="11.25" customHeight="1" x14ac:dyDescent="0.2">
      <c r="A213" s="29"/>
      <c r="C213" s="205" t="s">
        <v>151</v>
      </c>
      <c r="D213" s="119">
        <f>$D$167</f>
        <v>1.7885131107377737E-2</v>
      </c>
      <c r="E213" s="120">
        <f>$D$213*25.4</f>
        <v>0.4542823301273945</v>
      </c>
      <c r="F213" s="117"/>
      <c r="K213" s="6"/>
    </row>
    <row r="214" spans="1:11" s="3" customFormat="1" ht="11.25" customHeight="1" x14ac:dyDescent="0.2">
      <c r="A214" s="29"/>
      <c r="C214" s="205" t="s">
        <v>152</v>
      </c>
      <c r="D214" s="119">
        <f>$D$179</f>
        <v>5.3969457309550037E-2</v>
      </c>
      <c r="E214" s="120">
        <f>$D$214*25.4</f>
        <v>1.370824215662571</v>
      </c>
      <c r="F214" s="117"/>
      <c r="K214" s="6"/>
    </row>
    <row r="215" spans="1:11" s="3" customFormat="1" ht="11.25" customHeight="1" x14ac:dyDescent="0.2">
      <c r="A215" s="29"/>
      <c r="K215" s="6"/>
    </row>
    <row r="216" spans="1:11" s="3" customFormat="1" ht="11.25" customHeight="1" x14ac:dyDescent="0.2">
      <c r="A216" s="29"/>
      <c r="K216" s="6"/>
    </row>
    <row r="217" spans="1:11" s="3" customFormat="1" ht="11.25" customHeight="1" x14ac:dyDescent="0.2">
      <c r="A217" s="29"/>
      <c r="K217" s="6"/>
    </row>
    <row r="218" spans="1:11" s="3" customFormat="1" ht="11.25" customHeight="1" x14ac:dyDescent="0.2">
      <c r="A218" s="29"/>
      <c r="K218" s="6"/>
    </row>
    <row r="219" spans="1:11" s="3" customFormat="1" ht="11.25" customHeight="1" x14ac:dyDescent="0.2">
      <c r="A219" s="29"/>
      <c r="K219" s="6"/>
    </row>
    <row r="220" spans="1:11" s="3" customFormat="1" ht="11.25" customHeight="1" x14ac:dyDescent="0.2">
      <c r="A220" s="113"/>
      <c r="B220" s="114"/>
      <c r="C220" s="114"/>
      <c r="D220" s="114"/>
      <c r="E220" s="114"/>
      <c r="F220" s="114"/>
      <c r="G220" s="114"/>
      <c r="H220" s="114"/>
      <c r="I220" s="114"/>
      <c r="J220" s="114"/>
      <c r="K220" s="115"/>
    </row>
  </sheetData>
  <mergeCells count="47">
    <mergeCell ref="E203:E205"/>
    <mergeCell ref="C175:F175"/>
    <mergeCell ref="D185:E185"/>
    <mergeCell ref="I185:J185"/>
    <mergeCell ref="B196:C196"/>
    <mergeCell ref="B197:C197"/>
    <mergeCell ref="E197:E200"/>
    <mergeCell ref="B198:C198"/>
    <mergeCell ref="B199:C199"/>
    <mergeCell ref="B200:C200"/>
    <mergeCell ref="C173:F173"/>
    <mergeCell ref="D119:E119"/>
    <mergeCell ref="I120:K120"/>
    <mergeCell ref="I121:K121"/>
    <mergeCell ref="B135:E135"/>
    <mergeCell ref="B137:E137"/>
    <mergeCell ref="D139:H139"/>
    <mergeCell ref="E140:I140"/>
    <mergeCell ref="C146:F146"/>
    <mergeCell ref="C158:F158"/>
    <mergeCell ref="C160:F160"/>
    <mergeCell ref="B163:D163"/>
    <mergeCell ref="J72:K72"/>
    <mergeCell ref="B103:E103"/>
    <mergeCell ref="B105:E105"/>
    <mergeCell ref="B107:D107"/>
    <mergeCell ref="A109:B109"/>
    <mergeCell ref="C109:E109"/>
    <mergeCell ref="A54:B54"/>
    <mergeCell ref="A57:C57"/>
    <mergeCell ref="D57:E57"/>
    <mergeCell ref="A58:C58"/>
    <mergeCell ref="A59:C59"/>
    <mergeCell ref="D59:G59"/>
    <mergeCell ref="C21:D21"/>
    <mergeCell ref="I21:K21"/>
    <mergeCell ref="A1:K1"/>
    <mergeCell ref="D9:E9"/>
    <mergeCell ref="D10:E10"/>
    <mergeCell ref="D11:E11"/>
    <mergeCell ref="D12:E12"/>
    <mergeCell ref="D13:E13"/>
    <mergeCell ref="C19:D19"/>
    <mergeCell ref="G19:H19"/>
    <mergeCell ref="J19:J20"/>
    <mergeCell ref="C20:D20"/>
    <mergeCell ref="G20:H20"/>
  </mergeCells>
  <pageMargins left="0.39370078740157483" right="0.39370078740157483" top="0.39370078740157483" bottom="0.39370078740157483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E2C4C-DA82-4E4C-A29B-6DA39D1F4F33}">
  <sheetPr>
    <tabColor rgb="FFFFC000"/>
  </sheetPr>
  <dimension ref="A1:L220"/>
  <sheetViews>
    <sheetView showGridLines="0" zoomScaleNormal="100" workbookViewId="0">
      <selection activeCell="F11" sqref="F11"/>
    </sheetView>
  </sheetViews>
  <sheetFormatPr baseColWidth="10" defaultColWidth="8.85546875" defaultRowHeight="15" x14ac:dyDescent="0.25"/>
  <cols>
    <col min="1" max="1" width="17.28515625" customWidth="1"/>
    <col min="2" max="3" width="11.42578125" customWidth="1"/>
    <col min="4" max="4" width="13.5703125" customWidth="1"/>
    <col min="5" max="10" width="11.42578125" customWidth="1"/>
    <col min="11" max="11" width="9.7109375" customWidth="1"/>
    <col min="12" max="256" width="11.42578125" customWidth="1"/>
  </cols>
  <sheetData>
    <row r="1" spans="1:11" s="2" customFormat="1" ht="15" customHeight="1" x14ac:dyDescent="0.2">
      <c r="A1" s="306" t="s">
        <v>226</v>
      </c>
      <c r="B1" s="307"/>
      <c r="C1" s="307"/>
      <c r="D1" s="307"/>
      <c r="E1" s="307"/>
      <c r="F1" s="307"/>
      <c r="G1" s="307"/>
      <c r="H1" s="307"/>
      <c r="I1" s="307"/>
      <c r="J1" s="307"/>
      <c r="K1" s="308"/>
    </row>
    <row r="2" spans="1:11" s="2" customFormat="1" ht="11.25" customHeight="1" x14ac:dyDescent="0.2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7"/>
    </row>
    <row r="3" spans="1:11" s="3" customFormat="1" ht="11.25" customHeight="1" x14ac:dyDescent="0.2">
      <c r="A3" s="28" t="s">
        <v>5</v>
      </c>
      <c r="K3" s="6"/>
    </row>
    <row r="4" spans="1:11" s="3" customFormat="1" ht="11.25" customHeight="1" x14ac:dyDescent="0.2">
      <c r="A4" s="28"/>
      <c r="K4" s="6"/>
    </row>
    <row r="5" spans="1:11" s="3" customFormat="1" ht="11.25" customHeight="1" x14ac:dyDescent="0.2">
      <c r="A5" s="28"/>
      <c r="K5" s="6"/>
    </row>
    <row r="6" spans="1:11" s="2" customFormat="1" ht="11.25" customHeight="1" x14ac:dyDescent="0.2">
      <c r="A6" s="9" t="s">
        <v>6</v>
      </c>
      <c r="B6" s="18"/>
      <c r="C6" s="18"/>
      <c r="D6" s="11"/>
      <c r="E6" s="12"/>
      <c r="F6" s="12"/>
      <c r="G6" s="13"/>
      <c r="H6" s="14"/>
      <c r="I6" s="15"/>
      <c r="J6" s="16"/>
      <c r="K6" s="17"/>
    </row>
    <row r="7" spans="1:11" s="2" customFormat="1" ht="11.25" customHeight="1" x14ac:dyDescent="0.2">
      <c r="A7" s="9"/>
      <c r="B7" s="18"/>
      <c r="C7" s="18"/>
      <c r="D7" s="11"/>
      <c r="E7" s="12"/>
      <c r="F7" s="12"/>
      <c r="G7" s="13"/>
      <c r="H7" s="14"/>
      <c r="I7" s="15"/>
      <c r="J7" s="16"/>
      <c r="K7" s="17"/>
    </row>
    <row r="8" spans="1:11" s="2" customFormat="1" ht="11.25" customHeight="1" x14ac:dyDescent="0.2">
      <c r="A8" s="9"/>
      <c r="B8" s="18"/>
      <c r="C8" s="18"/>
      <c r="D8" s="11"/>
      <c r="E8" s="12"/>
      <c r="F8" s="12"/>
      <c r="G8" s="13"/>
      <c r="H8" s="14"/>
      <c r="I8" s="15"/>
      <c r="J8" s="16"/>
      <c r="K8" s="17"/>
    </row>
    <row r="9" spans="1:11" s="2" customFormat="1" ht="22.5" customHeight="1" x14ac:dyDescent="0.2">
      <c r="A9" s="10"/>
      <c r="B9" s="19"/>
      <c r="C9" s="19"/>
      <c r="D9" s="304" t="s">
        <v>4</v>
      </c>
      <c r="E9" s="305"/>
      <c r="F9" s="268" t="s">
        <v>7</v>
      </c>
      <c r="G9" s="268" t="s">
        <v>8</v>
      </c>
      <c r="H9" s="19"/>
      <c r="I9" s="19"/>
      <c r="J9" s="19"/>
      <c r="K9" s="20"/>
    </row>
    <row r="10" spans="1:11" s="2" customFormat="1" ht="26.25" customHeight="1" x14ac:dyDescent="0.2">
      <c r="A10" s="21"/>
      <c r="B10" s="15"/>
      <c r="C10" s="22"/>
      <c r="D10" s="309" t="s">
        <v>162</v>
      </c>
      <c r="E10" s="309"/>
      <c r="F10" s="23">
        <v>190</v>
      </c>
      <c r="G10" s="144"/>
      <c r="H10" s="124"/>
      <c r="I10" s="25"/>
      <c r="J10" s="25"/>
      <c r="K10" s="26"/>
    </row>
    <row r="11" spans="1:11" s="2" customFormat="1" ht="15" customHeight="1" x14ac:dyDescent="0.2">
      <c r="A11" s="21"/>
      <c r="B11" s="24"/>
      <c r="C11" s="8"/>
      <c r="D11" s="310" t="s">
        <v>159</v>
      </c>
      <c r="E11" s="310"/>
      <c r="F11" s="257">
        <v>150</v>
      </c>
      <c r="G11" s="123"/>
      <c r="H11" s="25"/>
      <c r="I11" s="25"/>
      <c r="J11" s="25"/>
      <c r="K11" s="26"/>
    </row>
    <row r="12" spans="1:11" s="2" customFormat="1" ht="13.5" customHeight="1" x14ac:dyDescent="0.2">
      <c r="A12" s="21"/>
      <c r="B12" s="24"/>
      <c r="C12" s="8"/>
      <c r="D12" s="310" t="s">
        <v>9</v>
      </c>
      <c r="E12" s="310"/>
      <c r="F12" s="125">
        <v>54</v>
      </c>
      <c r="G12" s="126"/>
      <c r="H12" s="25"/>
      <c r="I12" s="25"/>
      <c r="J12" s="25"/>
      <c r="K12" s="26"/>
    </row>
    <row r="13" spans="1:11" s="2" customFormat="1" ht="34.5" customHeight="1" x14ac:dyDescent="0.2">
      <c r="A13" s="21"/>
      <c r="B13" s="24"/>
      <c r="C13" s="8"/>
      <c r="D13" s="310" t="s">
        <v>10</v>
      </c>
      <c r="E13" s="310"/>
      <c r="F13" s="140" t="s">
        <v>11</v>
      </c>
      <c r="G13" s="143"/>
      <c r="H13" s="25"/>
      <c r="I13" s="25"/>
      <c r="J13" s="25"/>
      <c r="K13" s="26"/>
    </row>
    <row r="14" spans="1:11" s="3" customFormat="1" ht="10.5" customHeight="1" x14ac:dyDescent="0.25">
      <c r="A14" s="97"/>
      <c r="B14" s="98"/>
      <c r="C14" s="27"/>
      <c r="D14" s="27"/>
      <c r="E14" s="27"/>
      <c r="F14" s="27"/>
      <c r="G14" s="27"/>
      <c r="H14" s="98"/>
      <c r="I14" s="98"/>
      <c r="J14" s="98"/>
      <c r="K14" s="99"/>
    </row>
    <row r="15" spans="1:11" s="3" customFormat="1" ht="10.5" customHeight="1" x14ac:dyDescent="0.25">
      <c r="A15" s="97"/>
      <c r="B15" s="98"/>
      <c r="C15" s="27"/>
      <c r="D15" s="27"/>
      <c r="E15" s="27"/>
      <c r="F15" s="27"/>
      <c r="G15" s="27"/>
      <c r="H15" s="98"/>
      <c r="I15" s="98"/>
      <c r="J15" s="98"/>
      <c r="K15" s="99"/>
    </row>
    <row r="16" spans="1:11" s="3" customFormat="1" ht="11.25" customHeight="1" x14ac:dyDescent="0.2">
      <c r="A16" s="30" t="s">
        <v>12</v>
      </c>
      <c r="K16" s="6"/>
    </row>
    <row r="17" spans="1:11" s="3" customFormat="1" ht="11.25" customHeight="1" x14ac:dyDescent="0.2">
      <c r="A17" s="30"/>
      <c r="K17" s="6"/>
    </row>
    <row r="18" spans="1:11" s="3" customFormat="1" ht="11.25" customHeight="1" x14ac:dyDescent="0.2">
      <c r="A18" s="28"/>
      <c r="K18" s="6"/>
    </row>
    <row r="19" spans="1:11" s="3" customFormat="1" ht="11.25" customHeight="1" x14ac:dyDescent="0.2">
      <c r="A19" s="40" t="s">
        <v>13</v>
      </c>
      <c r="C19" s="311" t="s">
        <v>14</v>
      </c>
      <c r="D19" s="311"/>
      <c r="E19" s="32">
        <v>3</v>
      </c>
      <c r="F19" s="33" t="s">
        <v>2</v>
      </c>
      <c r="G19" s="362" t="s">
        <v>15</v>
      </c>
      <c r="H19" s="362"/>
      <c r="I19" s="34">
        <v>7.3</v>
      </c>
      <c r="J19" s="322" t="s">
        <v>16</v>
      </c>
      <c r="K19" s="267">
        <v>4</v>
      </c>
    </row>
    <row r="20" spans="1:11" s="3" customFormat="1" ht="11.25" customHeight="1" x14ac:dyDescent="0.2">
      <c r="A20" s="29"/>
      <c r="C20" s="322" t="s">
        <v>17</v>
      </c>
      <c r="D20" s="322"/>
      <c r="E20" s="32">
        <f>5.92/2</f>
        <v>2.96</v>
      </c>
      <c r="F20" s="33" t="s">
        <v>2</v>
      </c>
      <c r="G20" s="363" t="s">
        <v>18</v>
      </c>
      <c r="H20" s="363"/>
      <c r="I20" s="173">
        <f>I19*2</f>
        <v>14.6</v>
      </c>
      <c r="J20" s="322"/>
      <c r="K20" s="174" t="s">
        <v>19</v>
      </c>
    </row>
    <row r="21" spans="1:11" s="3" customFormat="1" ht="11.25" customHeight="1" x14ac:dyDescent="0.2">
      <c r="A21" s="29"/>
      <c r="B21" s="267" t="s">
        <v>20</v>
      </c>
      <c r="C21" s="322" t="s">
        <v>21</v>
      </c>
      <c r="D21" s="322"/>
      <c r="E21" s="37">
        <v>3</v>
      </c>
      <c r="F21" s="33" t="s">
        <v>2</v>
      </c>
      <c r="G21" s="171" t="s">
        <v>22</v>
      </c>
      <c r="H21" s="172">
        <f>E21/E19</f>
        <v>1</v>
      </c>
      <c r="I21" s="318" t="s">
        <v>156</v>
      </c>
      <c r="J21" s="318"/>
      <c r="K21" s="319"/>
    </row>
    <row r="22" spans="1:11" s="3" customFormat="1" ht="11.25" customHeight="1" x14ac:dyDescent="0.2">
      <c r="A22" s="29"/>
      <c r="K22" s="6"/>
    </row>
    <row r="23" spans="1:11" s="3" customFormat="1" ht="11.25" customHeight="1" x14ac:dyDescent="0.2">
      <c r="A23" s="29"/>
      <c r="K23" s="6"/>
    </row>
    <row r="24" spans="1:11" s="3" customFormat="1" ht="11.25" customHeight="1" x14ac:dyDescent="0.2">
      <c r="A24" s="28" t="s">
        <v>23</v>
      </c>
      <c r="K24" s="6"/>
    </row>
    <row r="25" spans="1:11" s="3" customFormat="1" ht="11.25" customHeight="1" x14ac:dyDescent="0.2">
      <c r="A25" s="28"/>
      <c r="K25" s="6"/>
    </row>
    <row r="26" spans="1:11" s="3" customFormat="1" ht="11.25" customHeight="1" x14ac:dyDescent="0.2">
      <c r="A26" s="28"/>
      <c r="K26" s="6"/>
    </row>
    <row r="27" spans="1:11" s="3" customFormat="1" ht="11.25" customHeight="1" x14ac:dyDescent="0.2">
      <c r="A27" s="41" t="s">
        <v>24</v>
      </c>
      <c r="B27" s="4" t="s">
        <v>25</v>
      </c>
      <c r="C27" s="4"/>
      <c r="G27" s="223"/>
      <c r="H27" s="224"/>
      <c r="I27" s="165"/>
      <c r="K27" s="6"/>
    </row>
    <row r="28" spans="1:11" s="3" customFormat="1" ht="11.25" customHeight="1" x14ac:dyDescent="0.2">
      <c r="A28" s="139"/>
      <c r="B28" s="4"/>
      <c r="C28" s="4"/>
      <c r="G28" s="127"/>
      <c r="H28" s="138"/>
      <c r="I28" s="165"/>
      <c r="K28" s="6"/>
    </row>
    <row r="29" spans="1:11" s="3" customFormat="1" ht="11.25" customHeight="1" x14ac:dyDescent="0.2">
      <c r="A29" s="139"/>
      <c r="B29" s="4"/>
      <c r="C29" s="4"/>
      <c r="K29" s="6"/>
    </row>
    <row r="30" spans="1:11" s="3" customFormat="1" ht="11.25" customHeight="1" x14ac:dyDescent="0.2">
      <c r="A30" s="30" t="s">
        <v>26</v>
      </c>
      <c r="B30" s="127"/>
      <c r="C30" s="138"/>
      <c r="D30" s="33"/>
      <c r="E30" s="38"/>
      <c r="G30" s="33"/>
      <c r="H30" s="33"/>
      <c r="I30" s="33"/>
      <c r="J30" s="33"/>
      <c r="K30" s="6"/>
    </row>
    <row r="31" spans="1:11" s="3" customFormat="1" ht="11.25" customHeight="1" x14ac:dyDescent="0.2">
      <c r="A31" s="30"/>
      <c r="B31" s="127"/>
      <c r="C31" s="138"/>
      <c r="D31" s="33"/>
      <c r="E31" s="38"/>
      <c r="G31" s="33"/>
      <c r="H31" s="33"/>
      <c r="I31" s="33"/>
      <c r="J31" s="33"/>
      <c r="K31" s="6"/>
    </row>
    <row r="32" spans="1:11" s="3" customFormat="1" ht="11.25" customHeight="1" x14ac:dyDescent="0.2">
      <c r="A32" s="29"/>
      <c r="B32" s="127"/>
      <c r="C32" s="138"/>
      <c r="D32" s="33"/>
      <c r="E32" s="38"/>
      <c r="G32" s="33"/>
      <c r="H32" s="33"/>
      <c r="I32" s="33"/>
      <c r="J32" s="33"/>
      <c r="K32" s="6"/>
    </row>
    <row r="33" spans="1:11" s="3" customFormat="1" ht="11.25" customHeight="1" x14ac:dyDescent="0.2">
      <c r="A33" s="39"/>
      <c r="C33" s="40" t="s">
        <v>27</v>
      </c>
      <c r="D33" s="40" t="s">
        <v>28</v>
      </c>
      <c r="E33" s="41" t="s">
        <v>29</v>
      </c>
      <c r="G33" s="44"/>
      <c r="K33" s="6"/>
    </row>
    <row r="34" spans="1:11" s="3" customFormat="1" ht="11.25" customHeight="1" x14ac:dyDescent="0.2">
      <c r="A34" s="39"/>
      <c r="C34" s="42">
        <f>E21</f>
        <v>3</v>
      </c>
      <c r="D34" s="42">
        <v>2.97</v>
      </c>
      <c r="E34" s="42">
        <f>F10/1000</f>
        <v>0.19</v>
      </c>
      <c r="K34" s="6"/>
    </row>
    <row r="35" spans="1:11" s="3" customFormat="1" ht="11.25" customHeight="1" x14ac:dyDescent="0.2">
      <c r="A35" s="29"/>
      <c r="C35" s="40" t="s">
        <v>30</v>
      </c>
      <c r="D35" s="40" t="s">
        <v>31</v>
      </c>
      <c r="E35" s="41" t="s">
        <v>32</v>
      </c>
      <c r="F35" s="4"/>
      <c r="G35" s="163"/>
      <c r="K35" s="6"/>
    </row>
    <row r="36" spans="1:11" s="3" customFormat="1" ht="11.25" customHeight="1" x14ac:dyDescent="0.2">
      <c r="A36" s="29"/>
      <c r="C36" s="43">
        <f>C34/0.0254</f>
        <v>118.11023622047244</v>
      </c>
      <c r="D36" s="43">
        <f>D34/0.0254</f>
        <v>116.92913385826773</v>
      </c>
      <c r="E36" s="43">
        <f>E34/0.0254</f>
        <v>7.4803149606299213</v>
      </c>
      <c r="K36" s="6"/>
    </row>
    <row r="37" spans="1:11" s="3" customFormat="1" ht="11.25" customHeight="1" x14ac:dyDescent="0.2">
      <c r="A37" s="29"/>
      <c r="K37" s="6"/>
    </row>
    <row r="38" spans="1:11" s="3" customFormat="1" ht="11.25" customHeight="1" x14ac:dyDescent="0.2">
      <c r="A38" s="52"/>
      <c r="D38" s="25"/>
      <c r="E38" s="25"/>
      <c r="F38" s="25"/>
      <c r="G38" s="25"/>
      <c r="H38" s="44"/>
      <c r="I38" s="47"/>
      <c r="J38" s="44"/>
      <c r="K38" s="6"/>
    </row>
    <row r="39" spans="1:11" s="3" customFormat="1" ht="10.5" customHeight="1" x14ac:dyDescent="0.2">
      <c r="A39" s="29"/>
      <c r="B39" s="44"/>
      <c r="I39" s="47"/>
      <c r="J39" s="44"/>
      <c r="K39" s="6"/>
    </row>
    <row r="40" spans="1:11" s="3" customFormat="1" ht="10.5" customHeight="1" x14ac:dyDescent="0.2">
      <c r="A40" s="29"/>
      <c r="I40" s="47"/>
      <c r="J40" s="44"/>
      <c r="K40" s="6"/>
    </row>
    <row r="41" spans="1:11" s="3" customFormat="1" ht="10.5" customHeight="1" x14ac:dyDescent="0.2">
      <c r="A41" s="29"/>
      <c r="I41" s="47"/>
      <c r="J41" s="44"/>
      <c r="K41" s="6"/>
    </row>
    <row r="42" spans="1:11" s="3" customFormat="1" ht="15" customHeight="1" x14ac:dyDescent="0.2">
      <c r="A42" s="29"/>
      <c r="I42" s="47"/>
      <c r="J42" s="44"/>
      <c r="K42" s="6"/>
    </row>
    <row r="43" spans="1:11" s="3" customFormat="1" ht="15" customHeight="1" x14ac:dyDescent="0.2">
      <c r="A43" s="29"/>
      <c r="B43" s="164"/>
      <c r="H43" s="142"/>
      <c r="I43" s="47"/>
      <c r="J43" s="163"/>
      <c r="K43" s="6"/>
    </row>
    <row r="44" spans="1:11" s="3" customFormat="1" ht="10.5" customHeight="1" x14ac:dyDescent="0.2">
      <c r="A44" s="29"/>
      <c r="I44" s="47"/>
      <c r="J44" s="44"/>
      <c r="K44" s="6"/>
    </row>
    <row r="45" spans="1:11" s="3" customFormat="1" ht="10.5" customHeight="1" x14ac:dyDescent="0.2">
      <c r="A45" s="113"/>
      <c r="B45" s="114"/>
      <c r="C45" s="114"/>
      <c r="D45" s="114"/>
      <c r="E45" s="114"/>
      <c r="F45" s="114"/>
      <c r="G45" s="114"/>
      <c r="H45" s="114"/>
      <c r="I45" s="57"/>
      <c r="J45" s="154"/>
      <c r="K45" s="115"/>
    </row>
    <row r="46" spans="1:11" s="33" customFormat="1" ht="11.25" customHeight="1" x14ac:dyDescent="0.2">
      <c r="A46" s="155" t="s">
        <v>33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41"/>
    </row>
    <row r="47" spans="1:11" s="33" customFormat="1" ht="11.25" customHeight="1" x14ac:dyDescent="0.2">
      <c r="A47" s="28"/>
      <c r="K47" s="53"/>
    </row>
    <row r="48" spans="1:11" s="33" customFormat="1" ht="11.25" customHeight="1" x14ac:dyDescent="0.2">
      <c r="A48" s="54"/>
      <c r="K48" s="53"/>
    </row>
    <row r="49" spans="1:11" s="33" customFormat="1" ht="11.25" customHeight="1" x14ac:dyDescent="0.2">
      <c r="A49" s="52" t="s">
        <v>34</v>
      </c>
      <c r="K49" s="53"/>
    </row>
    <row r="50" spans="1:11" s="33" customFormat="1" ht="11.25" customHeight="1" x14ac:dyDescent="0.2">
      <c r="A50" s="52"/>
      <c r="K50" s="53"/>
    </row>
    <row r="51" spans="1:11" s="33" customFormat="1" ht="11.25" customHeight="1" x14ac:dyDescent="0.2">
      <c r="A51" s="54"/>
      <c r="K51" s="53"/>
    </row>
    <row r="52" spans="1:11" s="33" customFormat="1" ht="11.25" customHeight="1" x14ac:dyDescent="0.2">
      <c r="A52" s="267" t="s">
        <v>35</v>
      </c>
      <c r="B52" s="267" t="s">
        <v>36</v>
      </c>
      <c r="C52" s="267">
        <v>4200</v>
      </c>
      <c r="D52" s="66" t="s">
        <v>3</v>
      </c>
      <c r="E52" s="267">
        <f>C52/0.07</f>
        <v>59999.999999999993</v>
      </c>
      <c r="F52" s="66" t="s">
        <v>37</v>
      </c>
      <c r="K52" s="53"/>
    </row>
    <row r="53" spans="1:11" s="33" customFormat="1" ht="11.25" customHeight="1" x14ac:dyDescent="0.2">
      <c r="A53" s="267" t="s">
        <v>38</v>
      </c>
      <c r="B53" s="61" t="s">
        <v>39</v>
      </c>
      <c r="C53" s="267">
        <v>12.7</v>
      </c>
      <c r="D53" s="66" t="s">
        <v>40</v>
      </c>
      <c r="E53" s="62">
        <f>C53/25.4</f>
        <v>0.5</v>
      </c>
      <c r="F53" s="66" t="s">
        <v>41</v>
      </c>
      <c r="K53" s="53"/>
    </row>
    <row r="54" spans="1:11" s="33" customFormat="1" ht="11.25" customHeight="1" x14ac:dyDescent="0.2">
      <c r="A54" s="315" t="s">
        <v>42</v>
      </c>
      <c r="B54" s="317"/>
      <c r="C54" s="267" t="s">
        <v>43</v>
      </c>
      <c r="K54" s="53"/>
    </row>
    <row r="55" spans="1:11" s="33" customFormat="1" ht="11.25" customHeight="1" x14ac:dyDescent="0.2">
      <c r="A55" s="48"/>
      <c r="B55" s="63"/>
      <c r="K55" s="53"/>
    </row>
    <row r="56" spans="1:11" s="33" customFormat="1" ht="11.25" customHeight="1" x14ac:dyDescent="0.2">
      <c r="A56" s="70" t="s">
        <v>44</v>
      </c>
      <c r="K56" s="53"/>
    </row>
    <row r="57" spans="1:11" s="33" customFormat="1" ht="11.25" customHeight="1" x14ac:dyDescent="0.2">
      <c r="A57" s="315" t="s">
        <v>45</v>
      </c>
      <c r="B57" s="316"/>
      <c r="C57" s="317"/>
      <c r="D57" s="313" t="s">
        <v>13</v>
      </c>
      <c r="E57" s="314"/>
      <c r="K57" s="53"/>
    </row>
    <row r="58" spans="1:11" s="33" customFormat="1" ht="11.25" customHeight="1" x14ac:dyDescent="0.2">
      <c r="A58" s="315" t="s">
        <v>46</v>
      </c>
      <c r="B58" s="316"/>
      <c r="C58" s="317"/>
      <c r="D58" s="193" t="s">
        <v>157</v>
      </c>
      <c r="E58" s="194"/>
      <c r="F58" s="195"/>
      <c r="G58" s="261"/>
      <c r="K58" s="53"/>
    </row>
    <row r="59" spans="1:11" s="33" customFormat="1" ht="11.25" customHeight="1" x14ac:dyDescent="0.2">
      <c r="A59" s="315" t="s">
        <v>47</v>
      </c>
      <c r="B59" s="316"/>
      <c r="C59" s="317"/>
      <c r="D59" s="326" t="s">
        <v>48</v>
      </c>
      <c r="E59" s="327"/>
      <c r="F59" s="327"/>
      <c r="G59" s="328"/>
      <c r="K59" s="53"/>
    </row>
    <row r="60" spans="1:11" s="33" customFormat="1" ht="11.25" customHeight="1" x14ac:dyDescent="0.2">
      <c r="A60" s="54"/>
      <c r="K60" s="53"/>
    </row>
    <row r="61" spans="1:11" s="33" customFormat="1" ht="11.25" customHeight="1" x14ac:dyDescent="0.2">
      <c r="A61" s="54"/>
      <c r="K61" s="53"/>
    </row>
    <row r="62" spans="1:11" s="33" customFormat="1" ht="11.25" customHeight="1" x14ac:dyDescent="0.2">
      <c r="A62" s="70" t="s">
        <v>49</v>
      </c>
      <c r="B62" s="64"/>
      <c r="E62" s="65"/>
      <c r="K62" s="53"/>
    </row>
    <row r="63" spans="1:11" s="33" customFormat="1" ht="11.25" customHeight="1" x14ac:dyDescent="0.2">
      <c r="A63" s="267" t="s">
        <v>50</v>
      </c>
      <c r="B63" s="267" t="s">
        <v>51</v>
      </c>
      <c r="C63" s="128">
        <f>($D$34-0.2)</f>
        <v>2.77</v>
      </c>
      <c r="D63" s="66" t="s">
        <v>52</v>
      </c>
      <c r="E63" s="66"/>
      <c r="K63" s="53"/>
    </row>
    <row r="64" spans="1:11" s="33" customFormat="1" ht="11.25" customHeight="1" x14ac:dyDescent="0.2">
      <c r="A64" s="67" t="s">
        <v>53</v>
      </c>
      <c r="B64" s="67" t="s">
        <v>54</v>
      </c>
      <c r="C64" s="267">
        <v>0.2</v>
      </c>
      <c r="D64" s="66" t="s">
        <v>52</v>
      </c>
      <c r="K64" s="53"/>
    </row>
    <row r="65" spans="1:11" s="33" customFormat="1" ht="11.25" customHeight="1" x14ac:dyDescent="0.2">
      <c r="A65" s="266" t="s">
        <v>55</v>
      </c>
      <c r="B65" s="179">
        <f>($C$34)/($C$64)</f>
        <v>15</v>
      </c>
      <c r="C65" s="68"/>
      <c r="K65" s="53"/>
    </row>
    <row r="66" spans="1:11" s="33" customFormat="1" ht="11.25" customHeight="1" x14ac:dyDescent="0.2">
      <c r="A66" s="93"/>
      <c r="B66" s="177"/>
      <c r="C66" s="178"/>
      <c r="K66" s="53"/>
    </row>
    <row r="67" spans="1:11" s="33" customFormat="1" ht="11.25" customHeight="1" x14ac:dyDescent="0.2">
      <c r="A67" s="54"/>
      <c r="K67" s="53"/>
    </row>
    <row r="68" spans="1:11" s="33" customFormat="1" ht="11.25" customHeight="1" x14ac:dyDescent="0.2">
      <c r="A68" s="70" t="s">
        <v>56</v>
      </c>
      <c r="B68" s="64"/>
      <c r="E68" s="65"/>
      <c r="K68" s="53"/>
    </row>
    <row r="69" spans="1:11" s="33" customFormat="1" ht="11.25" customHeight="1" x14ac:dyDescent="0.2">
      <c r="A69" s="267" t="s">
        <v>50</v>
      </c>
      <c r="B69" s="267" t="s">
        <v>51</v>
      </c>
      <c r="C69" s="128">
        <f>($C$34-0.2)</f>
        <v>2.8</v>
      </c>
      <c r="D69" s="66" t="s">
        <v>52</v>
      </c>
      <c r="E69" s="66"/>
      <c r="K69" s="53"/>
    </row>
    <row r="70" spans="1:11" s="33" customFormat="1" ht="11.25" customHeight="1" x14ac:dyDescent="0.2">
      <c r="A70" s="67" t="s">
        <v>53</v>
      </c>
      <c r="B70" s="67" t="s">
        <v>54</v>
      </c>
      <c r="C70" s="267">
        <v>0.2</v>
      </c>
      <c r="D70" s="66" t="s">
        <v>52</v>
      </c>
      <c r="K70" s="53"/>
    </row>
    <row r="71" spans="1:11" s="33" customFormat="1" ht="11.25" customHeight="1" x14ac:dyDescent="0.2">
      <c r="A71" s="266" t="s">
        <v>55</v>
      </c>
      <c r="B71" s="179">
        <f>($D$34)/($C$70)</f>
        <v>14.85</v>
      </c>
      <c r="C71" s="68"/>
      <c r="K71" s="53"/>
    </row>
    <row r="72" spans="1:11" s="33" customFormat="1" ht="11.25" customHeight="1" x14ac:dyDescent="0.2">
      <c r="A72" s="54"/>
      <c r="D72" s="162"/>
      <c r="E72" s="162"/>
      <c r="F72" s="162"/>
      <c r="G72" s="162"/>
      <c r="H72" s="47"/>
      <c r="I72" s="47"/>
      <c r="J72" s="332"/>
      <c r="K72" s="333"/>
    </row>
    <row r="73" spans="1:11" s="33" customFormat="1" ht="11.25" customHeight="1" x14ac:dyDescent="0.2">
      <c r="A73" s="54"/>
      <c r="I73" s="47"/>
      <c r="K73" s="53"/>
    </row>
    <row r="74" spans="1:11" s="33" customFormat="1" ht="11.25" customHeight="1" x14ac:dyDescent="0.2">
      <c r="A74" s="54"/>
      <c r="K74" s="53"/>
    </row>
    <row r="75" spans="1:11" s="33" customFormat="1" ht="11.25" customHeight="1" x14ac:dyDescent="0.25">
      <c r="A75" s="93"/>
      <c r="B75"/>
      <c r="C75"/>
      <c r="D75"/>
      <c r="E75"/>
      <c r="F75"/>
      <c r="G75" s="3"/>
      <c r="H75" s="3"/>
      <c r="I75" s="3"/>
      <c r="J75" s="3"/>
      <c r="K75" s="264"/>
    </row>
    <row r="76" spans="1:11" s="33" customFormat="1" ht="11.25" customHeight="1" x14ac:dyDescent="0.2">
      <c r="A76" s="54"/>
      <c r="D76" s="44"/>
      <c r="I76" s="44"/>
      <c r="K76" s="53"/>
    </row>
    <row r="77" spans="1:11" s="33" customFormat="1" ht="11.25" customHeight="1" x14ac:dyDescent="0.2">
      <c r="A77" s="186"/>
      <c r="B77" s="4"/>
      <c r="K77" s="53"/>
    </row>
    <row r="78" spans="1:11" s="33" customFormat="1" ht="11.25" customHeight="1" x14ac:dyDescent="0.2">
      <c r="A78" s="186"/>
      <c r="B78" s="162"/>
      <c r="C78" s="162"/>
      <c r="D78" s="162"/>
      <c r="E78" s="162"/>
      <c r="F78" s="162"/>
      <c r="G78" s="47"/>
      <c r="H78" s="47"/>
      <c r="J78" s="47"/>
      <c r="K78" s="46"/>
    </row>
    <row r="79" spans="1:11" s="33" customFormat="1" ht="11.25" customHeight="1" x14ac:dyDescent="0.2">
      <c r="A79" s="54"/>
      <c r="D79" s="162"/>
      <c r="E79" s="162"/>
      <c r="F79" s="162"/>
      <c r="G79" s="162"/>
      <c r="H79" s="162"/>
      <c r="K79" s="53"/>
    </row>
    <row r="80" spans="1:11" s="33" customFormat="1" ht="11.25" customHeight="1" x14ac:dyDescent="0.2">
      <c r="A80" s="54"/>
      <c r="B80" s="175"/>
      <c r="C80" s="175"/>
      <c r="D80" s="175"/>
      <c r="E80" s="175"/>
      <c r="F80" s="175"/>
      <c r="H80" s="176"/>
      <c r="I80" s="176"/>
      <c r="J80" s="176"/>
      <c r="K80" s="53"/>
    </row>
    <row r="81" spans="1:11" s="33" customFormat="1" ht="11.25" customHeight="1" x14ac:dyDescent="0.2">
      <c r="A81" s="54"/>
      <c r="K81" s="53"/>
    </row>
    <row r="82" spans="1:11" s="33" customFormat="1" ht="11.25" customHeight="1" x14ac:dyDescent="0.2">
      <c r="A82" s="54"/>
      <c r="E82" s="59"/>
      <c r="F82" s="142"/>
      <c r="G82" s="44"/>
      <c r="K82" s="53"/>
    </row>
    <row r="83" spans="1:11" s="33" customFormat="1" ht="11.25" customHeight="1" x14ac:dyDescent="0.2">
      <c r="A83" s="54"/>
      <c r="E83" s="59"/>
      <c r="F83" s="44"/>
      <c r="G83" s="44"/>
      <c r="K83" s="53"/>
    </row>
    <row r="84" spans="1:11" s="33" customFormat="1" ht="11.25" customHeight="1" x14ac:dyDescent="0.2">
      <c r="A84" s="54"/>
      <c r="E84" s="59"/>
      <c r="F84" s="44"/>
      <c r="G84" s="44"/>
      <c r="K84" s="53"/>
    </row>
    <row r="85" spans="1:11" s="33" customFormat="1" ht="11.25" customHeight="1" x14ac:dyDescent="0.2">
      <c r="A85" s="54"/>
      <c r="E85" s="59"/>
      <c r="F85" s="44"/>
      <c r="G85" s="63"/>
      <c r="H85" s="45"/>
      <c r="K85" s="53"/>
    </row>
    <row r="86" spans="1:11" s="33" customFormat="1" ht="11.25" customHeight="1" x14ac:dyDescent="0.2">
      <c r="A86" s="54"/>
      <c r="E86" s="59"/>
      <c r="F86" s="44"/>
      <c r="G86" s="63"/>
      <c r="H86" s="45"/>
      <c r="K86" s="53"/>
    </row>
    <row r="87" spans="1:11" s="33" customFormat="1" ht="11.25" customHeight="1" x14ac:dyDescent="0.2">
      <c r="A87" s="54"/>
      <c r="E87" s="59"/>
      <c r="F87" s="44"/>
      <c r="G87" s="63"/>
      <c r="H87" s="45"/>
      <c r="K87" s="53"/>
    </row>
    <row r="88" spans="1:11" s="33" customFormat="1" ht="11.25" customHeight="1" x14ac:dyDescent="0.2">
      <c r="A88" s="54"/>
      <c r="E88" s="59"/>
      <c r="F88" s="44"/>
      <c r="G88" s="63"/>
      <c r="H88" s="45"/>
      <c r="K88" s="53"/>
    </row>
    <row r="89" spans="1:11" s="33" customFormat="1" ht="11.25" customHeight="1" x14ac:dyDescent="0.2">
      <c r="A89" s="54"/>
      <c r="E89" s="59"/>
      <c r="F89" s="44"/>
      <c r="G89" s="63"/>
      <c r="H89" s="45"/>
      <c r="K89" s="53"/>
    </row>
    <row r="90" spans="1:11" s="33" customFormat="1" ht="11.25" customHeight="1" x14ac:dyDescent="0.2">
      <c r="A90" s="54"/>
      <c r="E90" s="59"/>
      <c r="F90" s="44"/>
      <c r="G90" s="63"/>
      <c r="H90" s="45"/>
      <c r="K90" s="53"/>
    </row>
    <row r="91" spans="1:11" s="33" customFormat="1" ht="11.25" customHeight="1" x14ac:dyDescent="0.2">
      <c r="A91" s="54"/>
      <c r="E91" s="59"/>
      <c r="F91" s="44"/>
      <c r="G91" s="63"/>
      <c r="H91" s="45"/>
      <c r="K91" s="53"/>
    </row>
    <row r="92" spans="1:11" s="33" customFormat="1" ht="11.25" customHeight="1" x14ac:dyDescent="0.2">
      <c r="A92" s="54"/>
      <c r="E92" s="59"/>
      <c r="F92" s="44"/>
      <c r="G92" s="63"/>
      <c r="H92" s="45"/>
      <c r="K92" s="53"/>
    </row>
    <row r="93" spans="1:11" s="33" customFormat="1" ht="11.25" customHeight="1" x14ac:dyDescent="0.2">
      <c r="A93" s="54"/>
      <c r="E93" s="59"/>
      <c r="F93" s="44"/>
      <c r="G93" s="63"/>
      <c r="H93" s="45"/>
      <c r="K93" s="53"/>
    </row>
    <row r="94" spans="1:11" s="33" customFormat="1" ht="11.25" customHeight="1" x14ac:dyDescent="0.2">
      <c r="A94" s="54"/>
      <c r="E94" s="59"/>
      <c r="F94" s="44"/>
      <c r="G94" s="44"/>
      <c r="K94" s="53"/>
    </row>
    <row r="95" spans="1:11" s="33" customFormat="1" ht="11.25" customHeight="1" x14ac:dyDescent="0.2">
      <c r="A95" s="54"/>
      <c r="E95" s="59"/>
      <c r="F95" s="44"/>
      <c r="G95" s="44"/>
      <c r="K95" s="53"/>
    </row>
    <row r="96" spans="1:11" s="33" customFormat="1" ht="11.25" customHeight="1" x14ac:dyDescent="0.2">
      <c r="A96" s="145"/>
      <c r="B96" s="56"/>
      <c r="C96" s="56"/>
      <c r="D96" s="56"/>
      <c r="E96" s="187"/>
      <c r="F96" s="154"/>
      <c r="G96" s="188"/>
      <c r="H96" s="56"/>
      <c r="I96" s="56"/>
      <c r="J96" s="56"/>
      <c r="K96" s="58"/>
    </row>
    <row r="97" spans="1:11" s="33" customFormat="1" ht="11.25" customHeight="1" x14ac:dyDescent="0.2">
      <c r="A97" s="158" t="s">
        <v>57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41"/>
    </row>
    <row r="98" spans="1:11" s="33" customFormat="1" ht="11.25" customHeight="1" x14ac:dyDescent="0.2">
      <c r="A98" s="52"/>
      <c r="K98" s="53"/>
    </row>
    <row r="99" spans="1:11" s="33" customFormat="1" ht="11.25" customHeight="1" x14ac:dyDescent="0.2">
      <c r="A99" s="52"/>
      <c r="K99" s="53"/>
    </row>
    <row r="100" spans="1:11" s="33" customFormat="1" ht="11.25" customHeight="1" x14ac:dyDescent="0.2">
      <c r="A100" s="52" t="s">
        <v>58</v>
      </c>
      <c r="K100" s="53"/>
    </row>
    <row r="101" spans="1:11" s="33" customFormat="1" ht="11.25" customHeight="1" x14ac:dyDescent="0.2">
      <c r="A101" s="52"/>
      <c r="K101" s="53"/>
    </row>
    <row r="102" spans="1:11" s="33" customFormat="1" ht="11.25" customHeight="1" x14ac:dyDescent="0.2">
      <c r="A102" s="70"/>
      <c r="K102" s="53"/>
    </row>
    <row r="103" spans="1:11" s="33" customFormat="1" ht="15" customHeight="1" x14ac:dyDescent="0.35">
      <c r="A103" s="54"/>
      <c r="B103" s="345" t="s">
        <v>59</v>
      </c>
      <c r="C103" s="345"/>
      <c r="D103" s="345"/>
      <c r="E103" s="345"/>
      <c r="F103" s="63" t="s">
        <v>60</v>
      </c>
      <c r="K103" s="53"/>
    </row>
    <row r="104" spans="1:11" s="33" customFormat="1" ht="11.25" customHeight="1" x14ac:dyDescent="0.2">
      <c r="A104" s="54"/>
      <c r="B104" s="71"/>
      <c r="C104" s="71"/>
      <c r="D104" s="71"/>
      <c r="K104" s="53"/>
    </row>
    <row r="105" spans="1:11" s="33" customFormat="1" ht="15" customHeight="1" x14ac:dyDescent="0.35">
      <c r="A105" s="54"/>
      <c r="B105" s="346" t="s">
        <v>61</v>
      </c>
      <c r="C105" s="346"/>
      <c r="D105" s="346"/>
      <c r="E105" s="346"/>
      <c r="F105" s="63" t="s">
        <v>62</v>
      </c>
      <c r="K105" s="53"/>
    </row>
    <row r="106" spans="1:11" s="33" customFormat="1" ht="11.25" customHeight="1" x14ac:dyDescent="0.25">
      <c r="A106" s="54"/>
      <c r="B106" s="73"/>
      <c r="C106" s="73"/>
      <c r="D106" s="73"/>
      <c r="E106" s="63"/>
      <c r="K106" s="53"/>
    </row>
    <row r="107" spans="1:11" s="33" customFormat="1" ht="15" customHeight="1" x14ac:dyDescent="0.35">
      <c r="A107" s="54"/>
      <c r="B107" s="346" t="s">
        <v>63</v>
      </c>
      <c r="C107" s="346"/>
      <c r="D107" s="346"/>
      <c r="E107" s="47"/>
      <c r="F107" s="47" t="s">
        <v>64</v>
      </c>
      <c r="H107" s="74"/>
      <c r="K107" s="53"/>
    </row>
    <row r="108" spans="1:11" s="33" customFormat="1" ht="11.25" customHeight="1" x14ac:dyDescent="0.25">
      <c r="A108" s="54"/>
      <c r="B108" s="73"/>
      <c r="C108" s="73"/>
      <c r="D108" s="4"/>
      <c r="K108" s="53"/>
    </row>
    <row r="109" spans="1:11" s="33" customFormat="1" ht="18.75" customHeight="1" x14ac:dyDescent="0.2">
      <c r="A109" s="330" t="s">
        <v>65</v>
      </c>
      <c r="B109" s="331"/>
      <c r="C109" s="329" t="s">
        <v>66</v>
      </c>
      <c r="D109" s="329"/>
      <c r="E109" s="329"/>
      <c r="K109" s="53"/>
    </row>
    <row r="110" spans="1:11" s="33" customFormat="1" ht="11.25" customHeight="1" x14ac:dyDescent="0.2">
      <c r="A110" s="263"/>
      <c r="B110" s="45"/>
      <c r="C110" s="183"/>
      <c r="D110" s="183"/>
      <c r="E110" s="183"/>
      <c r="K110" s="53"/>
    </row>
    <row r="111" spans="1:11" s="3" customFormat="1" ht="11.25" customHeight="1" x14ac:dyDescent="0.2">
      <c r="A111" s="29" t="s">
        <v>67</v>
      </c>
      <c r="D111" s="184">
        <f>$C$36</f>
        <v>118.11023622047244</v>
      </c>
      <c r="E111" s="70" t="s">
        <v>68</v>
      </c>
      <c r="F111" s="75"/>
      <c r="G111" s="33"/>
      <c r="K111" s="6"/>
    </row>
    <row r="112" spans="1:11" s="3" customFormat="1" ht="11.25" customHeight="1" x14ac:dyDescent="0.2">
      <c r="A112" s="29" t="s">
        <v>69</v>
      </c>
      <c r="D112" s="184">
        <v>3674288</v>
      </c>
      <c r="E112" s="70" t="s">
        <v>70</v>
      </c>
      <c r="F112" s="77"/>
      <c r="G112" s="33"/>
      <c r="H112" s="33"/>
      <c r="I112" s="222"/>
      <c r="K112" s="6"/>
    </row>
    <row r="113" spans="1:11" s="3" customFormat="1" ht="11.25" customHeight="1" x14ac:dyDescent="0.2">
      <c r="A113" s="29" t="s">
        <v>71</v>
      </c>
      <c r="D113" s="78">
        <f>$E$36</f>
        <v>7.4803149606299213</v>
      </c>
      <c r="E113" s="70" t="s">
        <v>68</v>
      </c>
      <c r="F113" s="79"/>
      <c r="G113" s="33"/>
      <c r="K113" s="6"/>
    </row>
    <row r="114" spans="1:11" s="3" customFormat="1" ht="11.25" customHeight="1" x14ac:dyDescent="0.25">
      <c r="A114" s="80" t="s">
        <v>72</v>
      </c>
      <c r="D114" s="266">
        <v>0.15</v>
      </c>
      <c r="E114" s="130" t="s">
        <v>0</v>
      </c>
      <c r="F114" s="49"/>
      <c r="G114" s="81"/>
      <c r="K114" s="6"/>
    </row>
    <row r="115" spans="1:11" s="3" customFormat="1" ht="11.25" customHeight="1" x14ac:dyDescent="0.2">
      <c r="A115" s="29" t="s">
        <v>73</v>
      </c>
      <c r="D115" s="76">
        <v>135.55000000000001</v>
      </c>
      <c r="E115" s="131" t="s">
        <v>74</v>
      </c>
      <c r="F115" s="77"/>
      <c r="G115" s="7"/>
      <c r="K115" s="6"/>
    </row>
    <row r="116" spans="1:11" s="3" customFormat="1" ht="15" customHeight="1" x14ac:dyDescent="0.3">
      <c r="A116" s="29" t="s">
        <v>75</v>
      </c>
      <c r="D116" s="78">
        <f>(($D$112*$D$113^3)/(12*(1-$D$114^2)*$D$115))^0.25</f>
        <v>31.360561382197776</v>
      </c>
      <c r="E116" s="70" t="s">
        <v>68</v>
      </c>
      <c r="F116" s="75"/>
      <c r="G116" s="33"/>
      <c r="K116" s="6"/>
    </row>
    <row r="117" spans="1:11" s="3" customFormat="1" ht="11.25" customHeight="1" x14ac:dyDescent="0.2">
      <c r="A117" s="29"/>
      <c r="D117" s="83"/>
      <c r="K117" s="6"/>
    </row>
    <row r="118" spans="1:11" s="3" customFormat="1" ht="11.25" customHeight="1" x14ac:dyDescent="0.2">
      <c r="A118" s="29"/>
      <c r="D118" s="83"/>
      <c r="K118" s="6"/>
    </row>
    <row r="119" spans="1:11" s="33" customFormat="1" ht="11.25" customHeight="1" x14ac:dyDescent="0.2">
      <c r="A119" s="54"/>
      <c r="D119" s="323" t="s">
        <v>76</v>
      </c>
      <c r="E119" s="324"/>
      <c r="K119" s="53"/>
    </row>
    <row r="120" spans="1:11" s="33" customFormat="1" ht="16.5" customHeight="1" x14ac:dyDescent="0.3">
      <c r="A120" s="54"/>
      <c r="B120" s="148" t="s">
        <v>77</v>
      </c>
      <c r="C120" s="76">
        <f>$D$111/$D$116</f>
        <v>3.7662028680238877</v>
      </c>
      <c r="D120" s="110" t="s">
        <v>78</v>
      </c>
      <c r="E120" s="84">
        <v>0.5</v>
      </c>
      <c r="F120" s="86" t="s">
        <v>79</v>
      </c>
      <c r="G120" s="85">
        <v>6.0000000000000002E-6</v>
      </c>
      <c r="H120" s="266" t="s">
        <v>80</v>
      </c>
      <c r="I120" s="325" t="s">
        <v>81</v>
      </c>
      <c r="J120" s="325"/>
      <c r="K120" s="325"/>
    </row>
    <row r="121" spans="1:11" s="33" customFormat="1" ht="15" customHeight="1" x14ac:dyDescent="0.3">
      <c r="A121" s="54"/>
      <c r="B121" s="148" t="s">
        <v>82</v>
      </c>
      <c r="C121" s="76">
        <f>$D$36/$D$116</f>
        <v>3.7285408393436494</v>
      </c>
      <c r="D121" s="110" t="s">
        <v>83</v>
      </c>
      <c r="E121" s="266">
        <v>0.5</v>
      </c>
      <c r="F121" s="86" t="s">
        <v>84</v>
      </c>
      <c r="G121" s="87">
        <v>9</v>
      </c>
      <c r="H121" s="266" t="s">
        <v>85</v>
      </c>
      <c r="I121" s="325" t="s">
        <v>86</v>
      </c>
      <c r="J121" s="325"/>
      <c r="K121" s="325"/>
    </row>
    <row r="122" spans="1:11" s="33" customFormat="1" ht="11.25" customHeight="1" x14ac:dyDescent="0.2">
      <c r="A122" s="54"/>
      <c r="K122" s="53"/>
    </row>
    <row r="123" spans="1:11" s="33" customFormat="1" ht="18" customHeight="1" x14ac:dyDescent="0.25">
      <c r="A123" s="88"/>
      <c r="B123" s="89"/>
      <c r="C123" s="90"/>
      <c r="D123" s="91" t="s">
        <v>87</v>
      </c>
      <c r="E123" s="92">
        <f>((($D$112*$G$120*$G$121)/(2*(1-$D$114^2)))*($E$120+($D$114*$E$121)))*$E$36</f>
        <v>436.52379434923569</v>
      </c>
      <c r="F123" s="129" t="s">
        <v>88</v>
      </c>
      <c r="K123" s="53"/>
    </row>
    <row r="124" spans="1:11" s="33" customFormat="1" ht="11.25" customHeight="1" x14ac:dyDescent="0.2">
      <c r="A124" s="93"/>
      <c r="B124" s="49"/>
      <c r="D124" s="94"/>
      <c r="E124" s="95"/>
      <c r="F124" s="66"/>
      <c r="K124" s="53"/>
    </row>
    <row r="125" spans="1:11" s="33" customFormat="1" ht="18" customHeight="1" x14ac:dyDescent="0.25">
      <c r="A125" s="88"/>
      <c r="B125" s="89"/>
      <c r="C125" s="90"/>
      <c r="D125" s="91" t="s">
        <v>89</v>
      </c>
      <c r="E125" s="92">
        <f>((($D$112*$G$120*$G$121)/(2*(1-$D$114^2)))*($E$121+($D$114*$E$120)))*$E$36</f>
        <v>436.52379434923569</v>
      </c>
      <c r="F125" s="129" t="s">
        <v>88</v>
      </c>
      <c r="K125" s="53"/>
    </row>
    <row r="126" spans="1:11" s="33" customFormat="1" ht="11.25" customHeight="1" x14ac:dyDescent="0.2">
      <c r="A126" s="93"/>
      <c r="B126" s="49"/>
      <c r="D126" s="94"/>
      <c r="E126" s="95"/>
      <c r="F126" s="66"/>
      <c r="K126" s="53"/>
    </row>
    <row r="127" spans="1:11" s="33" customFormat="1" ht="18" customHeight="1" x14ac:dyDescent="0.2">
      <c r="A127" s="88"/>
      <c r="B127" s="89"/>
      <c r="D127" s="91" t="s">
        <v>90</v>
      </c>
      <c r="E127" s="92">
        <f>($E$120*$D$112*$G$120*$G$121/2)*$E$36</f>
        <v>371.04522519685042</v>
      </c>
      <c r="F127" s="129" t="s">
        <v>88</v>
      </c>
      <c r="K127" s="53"/>
    </row>
    <row r="128" spans="1:11" s="33" customFormat="1" ht="11.25" customHeight="1" x14ac:dyDescent="0.2">
      <c r="A128" s="54"/>
      <c r="D128" s="49"/>
      <c r="E128" s="96"/>
      <c r="F128" s="66"/>
      <c r="K128" s="53"/>
    </row>
    <row r="129" spans="1:11" s="33" customFormat="1" ht="18" customHeight="1" x14ac:dyDescent="0.2">
      <c r="A129" s="54"/>
      <c r="D129" s="91" t="s">
        <v>90</v>
      </c>
      <c r="E129" s="92">
        <f>($E$121*$D$112*$G$120*$G$121/2)*$E$36</f>
        <v>371.04522519685042</v>
      </c>
      <c r="F129" s="129" t="s">
        <v>88</v>
      </c>
      <c r="K129" s="53"/>
    </row>
    <row r="130" spans="1:11" s="33" customFormat="1" ht="11.25" customHeight="1" x14ac:dyDescent="0.2">
      <c r="A130" s="54"/>
      <c r="K130" s="53"/>
    </row>
    <row r="131" spans="1:11" s="33" customFormat="1" ht="11.25" customHeight="1" x14ac:dyDescent="0.2">
      <c r="A131" s="54"/>
      <c r="K131" s="53"/>
    </row>
    <row r="132" spans="1:11" ht="11.25" customHeight="1" x14ac:dyDescent="0.25">
      <c r="A132" s="52" t="s">
        <v>91</v>
      </c>
      <c r="K132" s="1"/>
    </row>
    <row r="133" spans="1:11" ht="11.25" customHeight="1" x14ac:dyDescent="0.25">
      <c r="A133" s="52"/>
      <c r="K133" s="1"/>
    </row>
    <row r="134" spans="1:11" ht="11.25" customHeight="1" x14ac:dyDescent="0.25">
      <c r="A134" s="52"/>
      <c r="K134" s="1"/>
    </row>
    <row r="135" spans="1:11" ht="21.75" x14ac:dyDescent="0.25">
      <c r="A135" s="100"/>
      <c r="B135" s="347" t="s">
        <v>92</v>
      </c>
      <c r="C135" s="347"/>
      <c r="D135" s="347"/>
      <c r="E135" s="347"/>
      <c r="F135" s="55" t="s">
        <v>93</v>
      </c>
      <c r="K135" s="1"/>
    </row>
    <row r="136" spans="1:11" s="3" customFormat="1" ht="11.25" customHeight="1" x14ac:dyDescent="0.2">
      <c r="A136" s="29"/>
      <c r="E136" s="4"/>
      <c r="K136" s="6"/>
    </row>
    <row r="137" spans="1:11" s="3" customFormat="1" ht="21.75" x14ac:dyDescent="0.2">
      <c r="A137" s="82"/>
      <c r="B137" s="347" t="s">
        <v>94</v>
      </c>
      <c r="C137" s="347"/>
      <c r="D137" s="347"/>
      <c r="E137" s="347"/>
      <c r="F137" s="55" t="s">
        <v>95</v>
      </c>
      <c r="K137" s="6"/>
    </row>
    <row r="138" spans="1:11" s="3" customFormat="1" ht="11.25" customHeight="1" x14ac:dyDescent="0.2">
      <c r="A138" s="29"/>
      <c r="K138" s="6"/>
    </row>
    <row r="139" spans="1:11" s="3" customFormat="1" ht="15" customHeight="1" x14ac:dyDescent="0.2">
      <c r="A139" s="189"/>
      <c r="B139" s="258"/>
      <c r="C139" s="121" t="s">
        <v>96</v>
      </c>
      <c r="D139" s="342" t="s">
        <v>97</v>
      </c>
      <c r="E139" s="343"/>
      <c r="F139" s="343"/>
      <c r="G139" s="343"/>
      <c r="H139" s="343"/>
      <c r="I139" s="190">
        <f>2.38*($D$148*$D$116)^0.5</f>
        <v>48.822467011902759</v>
      </c>
      <c r="J139" s="159" t="s">
        <v>68</v>
      </c>
      <c r="K139" s="115"/>
    </row>
    <row r="140" spans="1:11" s="3" customFormat="1" ht="35.25" customHeight="1" x14ac:dyDescent="0.2">
      <c r="A140" s="191"/>
      <c r="B140" s="50"/>
      <c r="C140" s="266" t="s">
        <v>98</v>
      </c>
      <c r="D140" s="76">
        <f>K140*2.205</f>
        <v>24255</v>
      </c>
      <c r="E140" s="356" t="s">
        <v>158</v>
      </c>
      <c r="F140" s="357"/>
      <c r="G140" s="357"/>
      <c r="H140" s="357"/>
      <c r="I140" s="358"/>
      <c r="J140" s="101" t="s">
        <v>99</v>
      </c>
      <c r="K140" s="266">
        <f>22*1000/2</f>
        <v>11000</v>
      </c>
    </row>
    <row r="141" spans="1:11" s="3" customFormat="1" ht="11.25" customHeight="1" x14ac:dyDescent="0.2">
      <c r="A141" s="29"/>
      <c r="K141" s="6"/>
    </row>
    <row r="142" spans="1:11" s="3" customFormat="1" ht="11.25" customHeight="1" x14ac:dyDescent="0.2">
      <c r="A142" s="29"/>
      <c r="B142" s="49"/>
      <c r="C142" s="102" t="s">
        <v>100</v>
      </c>
      <c r="D142" s="266">
        <v>80</v>
      </c>
      <c r="E142" s="4" t="s">
        <v>101</v>
      </c>
      <c r="K142" s="6"/>
    </row>
    <row r="143" spans="1:11" s="3" customFormat="1" ht="11.25" customHeight="1" x14ac:dyDescent="0.2">
      <c r="A143" s="29"/>
      <c r="K143" s="6"/>
    </row>
    <row r="144" spans="1:11" s="3" customFormat="1" ht="11.25" customHeight="1" x14ac:dyDescent="0.2">
      <c r="A144" s="29"/>
      <c r="C144" s="256" t="s">
        <v>102</v>
      </c>
      <c r="D144" s="84">
        <v>12.76</v>
      </c>
      <c r="E144" s="4" t="s">
        <v>103</v>
      </c>
      <c r="K144" s="6"/>
    </row>
    <row r="145" spans="1:12" s="3" customFormat="1" ht="11.25" customHeight="1" x14ac:dyDescent="0.2">
      <c r="A145" s="29"/>
      <c r="C145" s="104"/>
      <c r="D145" s="75"/>
      <c r="E145" s="4"/>
      <c r="K145" s="6"/>
    </row>
    <row r="146" spans="1:12" s="3" customFormat="1" ht="11.25" customHeight="1" x14ac:dyDescent="0.2">
      <c r="A146" s="29"/>
      <c r="C146" s="359" t="s">
        <v>104</v>
      </c>
      <c r="D146" s="359"/>
      <c r="E146" s="359"/>
      <c r="F146" s="359"/>
      <c r="G146" s="4" t="s">
        <v>105</v>
      </c>
      <c r="K146" s="6"/>
    </row>
    <row r="147" spans="1:12" s="3" customFormat="1" ht="11.25" customHeight="1" x14ac:dyDescent="0.2">
      <c r="A147" s="29"/>
      <c r="K147" s="6"/>
    </row>
    <row r="148" spans="1:12" s="3" customFormat="1" ht="11.25" customHeight="1" x14ac:dyDescent="0.2">
      <c r="A148" s="93"/>
      <c r="B148" s="44"/>
      <c r="C148" s="266" t="s">
        <v>1</v>
      </c>
      <c r="D148" s="105">
        <f>((0.8521*D140/(D142*3.1416))+(D144/3.1416)*(D140/(0.5227*D142))^0.5)^0.5</f>
        <v>13.418429811636141</v>
      </c>
      <c r="E148" s="69" t="s">
        <v>68</v>
      </c>
      <c r="K148" s="6"/>
      <c r="L148" s="4"/>
    </row>
    <row r="149" spans="1:12" s="3" customFormat="1" ht="11.25" customHeight="1" x14ac:dyDescent="0.2">
      <c r="A149" s="29"/>
      <c r="E149" s="66"/>
      <c r="K149" s="6"/>
    </row>
    <row r="150" spans="1:12" ht="18" customHeight="1" x14ac:dyDescent="0.25">
      <c r="A150" s="88"/>
      <c r="B150" s="89"/>
      <c r="C150" s="91" t="s">
        <v>106</v>
      </c>
      <c r="D150" s="106">
        <f>(3*$D$140/$E$36^2)*(1-($D$148*(2^0.5)/$D$116)^0.6)</f>
        <v>338.40095676076663</v>
      </c>
      <c r="E150" s="129" t="s">
        <v>88</v>
      </c>
      <c r="G150" s="107"/>
      <c r="H150" s="107"/>
      <c r="I150" s="107"/>
      <c r="K150" s="1"/>
    </row>
    <row r="151" spans="1:12" s="3" customFormat="1" ht="11.25" customHeight="1" x14ac:dyDescent="0.2">
      <c r="A151" s="54"/>
      <c r="B151" s="33"/>
      <c r="C151" s="33"/>
      <c r="D151" s="33"/>
      <c r="E151" s="63"/>
      <c r="K151" s="6"/>
    </row>
    <row r="152" spans="1:12" s="3" customFormat="1" ht="18" customHeight="1" x14ac:dyDescent="0.2">
      <c r="A152" s="93"/>
      <c r="B152" s="49"/>
      <c r="C152" s="91" t="s">
        <v>107</v>
      </c>
      <c r="D152" s="108">
        <f>($D$140/($D$115*$D$116^2))*(1.1-(0.88*($D$148*(2^0.5)/$D$116)))</f>
        <v>0.10325326338710773</v>
      </c>
      <c r="E152" s="69" t="s">
        <v>68</v>
      </c>
      <c r="K152" s="6"/>
    </row>
    <row r="153" spans="1:12" s="3" customFormat="1" ht="11.25" customHeight="1" x14ac:dyDescent="0.2">
      <c r="A153" s="29"/>
      <c r="K153" s="6"/>
    </row>
    <row r="154" spans="1:12" s="3" customFormat="1" ht="11.25" customHeight="1" x14ac:dyDescent="0.2">
      <c r="A154" s="29"/>
      <c r="K154" s="6"/>
    </row>
    <row r="155" spans="1:12" ht="11.25" customHeight="1" x14ac:dyDescent="0.25">
      <c r="A155" s="52" t="s">
        <v>108</v>
      </c>
      <c r="K155" s="1"/>
    </row>
    <row r="156" spans="1:12" ht="11.25" customHeight="1" x14ac:dyDescent="0.25">
      <c r="A156" s="52"/>
      <c r="K156" s="1"/>
    </row>
    <row r="157" spans="1:12" ht="11.25" customHeight="1" x14ac:dyDescent="0.25">
      <c r="A157" s="70"/>
      <c r="K157" s="1"/>
    </row>
    <row r="158" spans="1:12" s="3" customFormat="1" ht="18" customHeight="1" x14ac:dyDescent="0.25">
      <c r="A158" s="100"/>
      <c r="B158" s="109"/>
      <c r="C158" s="348" t="s">
        <v>109</v>
      </c>
      <c r="D158" s="349"/>
      <c r="E158" s="349"/>
      <c r="F158" s="350"/>
      <c r="G158" s="47" t="s">
        <v>110</v>
      </c>
      <c r="K158" s="6"/>
    </row>
    <row r="159" spans="1:12" s="3" customFormat="1" ht="11.25" customHeight="1" x14ac:dyDescent="0.2">
      <c r="A159" s="29"/>
      <c r="K159" s="6"/>
    </row>
    <row r="160" spans="1:12" s="3" customFormat="1" ht="21.75" x14ac:dyDescent="0.35">
      <c r="A160" s="82"/>
      <c r="B160" s="107"/>
      <c r="C160" s="351" t="s">
        <v>111</v>
      </c>
      <c r="D160" s="352"/>
      <c r="E160" s="352"/>
      <c r="F160" s="353"/>
      <c r="G160" s="55" t="s">
        <v>112</v>
      </c>
      <c r="K160" s="6"/>
    </row>
    <row r="161" spans="1:11" s="3" customFormat="1" ht="11.25" customHeight="1" x14ac:dyDescent="0.2">
      <c r="A161" s="29"/>
      <c r="K161" s="6"/>
    </row>
    <row r="162" spans="1:11" s="3" customFormat="1" ht="11.25" customHeight="1" x14ac:dyDescent="0.2">
      <c r="A162" s="93"/>
      <c r="B162" s="49"/>
      <c r="C162" s="122" t="s">
        <v>113</v>
      </c>
      <c r="D162" s="122" t="s">
        <v>114</v>
      </c>
      <c r="E162" s="34">
        <f>0.724*$D$113</f>
        <v>5.4157480314960624</v>
      </c>
      <c r="F162" s="69" t="s">
        <v>68</v>
      </c>
      <c r="G162" s="110" t="s">
        <v>115</v>
      </c>
      <c r="H162" s="111" t="s">
        <v>116</v>
      </c>
      <c r="K162" s="6"/>
    </row>
    <row r="163" spans="1:11" s="3" customFormat="1" ht="15" customHeight="1" x14ac:dyDescent="0.2">
      <c r="A163" s="82"/>
      <c r="B163" s="354" t="s">
        <v>117</v>
      </c>
      <c r="C163" s="354"/>
      <c r="D163" s="354"/>
      <c r="E163" s="34">
        <f>(((1.6*$D$148^2)+($D$113^2))^0.5)-(0.675*$D$113)</f>
        <v>13.499154598875826</v>
      </c>
      <c r="F163" s="69" t="s">
        <v>68</v>
      </c>
      <c r="K163" s="6"/>
    </row>
    <row r="164" spans="1:11" s="3" customFormat="1" ht="11.25" customHeight="1" x14ac:dyDescent="0.2">
      <c r="A164" s="29"/>
      <c r="K164" s="6"/>
    </row>
    <row r="165" spans="1:11" s="3" customFormat="1" ht="18" customHeight="1" x14ac:dyDescent="0.35">
      <c r="A165" s="29"/>
      <c r="C165" s="147" t="s">
        <v>118</v>
      </c>
      <c r="D165" s="106">
        <f>(0.316*$D$140/$E$36^2)*(4*LOG($D$116/$E$163)+1.069)</f>
        <v>347.00582402134864</v>
      </c>
      <c r="E165" s="93" t="s">
        <v>88</v>
      </c>
      <c r="K165" s="6"/>
    </row>
    <row r="166" spans="1:11" s="3" customFormat="1" ht="11.25" customHeight="1" x14ac:dyDescent="0.2">
      <c r="A166" s="29"/>
      <c r="C166" s="33"/>
      <c r="D166" s="112"/>
      <c r="E166" s="4"/>
      <c r="K166" s="6"/>
    </row>
    <row r="167" spans="1:11" s="3" customFormat="1" ht="18" customHeight="1" x14ac:dyDescent="0.35">
      <c r="A167" s="29"/>
      <c r="C167" s="147" t="s">
        <v>119</v>
      </c>
      <c r="D167" s="146">
        <f>($D$140/(8*$D$115*$D$116^2))*(1+((2/3.1416)*(LN($D$148/(2*$D$116))-0.673))*($D$148/$D$116)^2)</f>
        <v>1.6871347527699618E-2</v>
      </c>
      <c r="E167" s="49" t="s">
        <v>68</v>
      </c>
      <c r="K167" s="6"/>
    </row>
    <row r="168" spans="1:11" s="3" customFormat="1" ht="11.25" customHeight="1" x14ac:dyDescent="0.2">
      <c r="A168" s="29"/>
      <c r="K168" s="6"/>
    </row>
    <row r="169" spans="1:11" s="3" customFormat="1" ht="11.25" customHeight="1" x14ac:dyDescent="0.2">
      <c r="A169" s="29"/>
      <c r="K169" s="6"/>
    </row>
    <row r="170" spans="1:11" s="3" customFormat="1" ht="11.25" customHeight="1" x14ac:dyDescent="0.2">
      <c r="A170" s="52" t="s">
        <v>120</v>
      </c>
      <c r="K170" s="6"/>
    </row>
    <row r="171" spans="1:11" s="3" customFormat="1" ht="11.25" customHeight="1" x14ac:dyDescent="0.2">
      <c r="A171" s="52"/>
      <c r="K171" s="6"/>
    </row>
    <row r="172" spans="1:11" s="3" customFormat="1" ht="11.25" customHeight="1" x14ac:dyDescent="0.2">
      <c r="A172" s="52"/>
      <c r="K172" s="6"/>
    </row>
    <row r="173" spans="1:11" s="3" customFormat="1" ht="18" customHeight="1" x14ac:dyDescent="0.35">
      <c r="A173" s="29"/>
      <c r="C173" s="340" t="s">
        <v>121</v>
      </c>
      <c r="D173" s="355"/>
      <c r="E173" s="355"/>
      <c r="F173" s="341"/>
      <c r="G173" s="47" t="s">
        <v>122</v>
      </c>
      <c r="K173" s="6"/>
    </row>
    <row r="174" spans="1:11" s="3" customFormat="1" ht="11.25" customHeight="1" x14ac:dyDescent="0.2">
      <c r="A174" s="29"/>
      <c r="K174" s="6"/>
    </row>
    <row r="175" spans="1:11" s="3" customFormat="1" ht="18" customHeight="1" x14ac:dyDescent="0.35">
      <c r="A175" s="29"/>
      <c r="C175" s="337" t="s">
        <v>123</v>
      </c>
      <c r="D175" s="338"/>
      <c r="E175" s="338"/>
      <c r="F175" s="339"/>
      <c r="G175" s="55" t="s">
        <v>112</v>
      </c>
      <c r="K175" s="6"/>
    </row>
    <row r="176" spans="1:11" s="3" customFormat="1" ht="11.25" customHeight="1" x14ac:dyDescent="0.2">
      <c r="A176" s="29"/>
      <c r="K176" s="6"/>
    </row>
    <row r="177" spans="1:11" s="3" customFormat="1" ht="18" customHeight="1" x14ac:dyDescent="0.35">
      <c r="A177" s="29"/>
      <c r="C177" s="147" t="s">
        <v>124</v>
      </c>
      <c r="D177" s="106">
        <f>(0.572*$D$140/$E$36^2)*(4*LOG($D$116/$E$163)-0.359)</f>
        <v>274.05722551489077</v>
      </c>
      <c r="E177" s="93" t="s">
        <v>88</v>
      </c>
      <c r="K177" s="6"/>
    </row>
    <row r="178" spans="1:11" s="3" customFormat="1" ht="11.25" customHeight="1" x14ac:dyDescent="0.2">
      <c r="A178" s="29"/>
      <c r="C178" s="33"/>
      <c r="D178" s="96"/>
      <c r="E178" s="4"/>
      <c r="K178" s="6"/>
    </row>
    <row r="179" spans="1:11" s="3" customFormat="1" ht="18" customHeight="1" x14ac:dyDescent="0.35">
      <c r="A179" s="29"/>
      <c r="C179" s="147" t="s">
        <v>125</v>
      </c>
      <c r="D179" s="108">
        <f>(0.431*$D$140/($D$115*$D$116^2))*(1-(0.82*($D$148/($D$116))))</f>
        <v>5.0903881155234317E-2</v>
      </c>
      <c r="E179" s="49" t="s">
        <v>68</v>
      </c>
      <c r="K179" s="6"/>
    </row>
    <row r="180" spans="1:11" s="3" customFormat="1" ht="11.25" customHeight="1" x14ac:dyDescent="0.2">
      <c r="A180" s="29"/>
      <c r="D180" s="116"/>
      <c r="K180" s="6"/>
    </row>
    <row r="181" spans="1:11" s="3" customFormat="1" ht="11.25" customHeight="1" x14ac:dyDescent="0.2">
      <c r="A181" s="113"/>
      <c r="B181" s="114"/>
      <c r="C181" s="114"/>
      <c r="D181" s="192"/>
      <c r="E181" s="114"/>
      <c r="F181" s="114"/>
      <c r="G181" s="114"/>
      <c r="H181" s="114"/>
      <c r="I181" s="114"/>
      <c r="J181" s="114"/>
      <c r="K181" s="115"/>
    </row>
    <row r="182" spans="1:11" s="3" customFormat="1" ht="11.25" customHeight="1" x14ac:dyDescent="0.2">
      <c r="A182" s="155" t="s">
        <v>126</v>
      </c>
      <c r="B182" s="156"/>
      <c r="C182" s="156"/>
      <c r="D182" s="156"/>
      <c r="E182" s="156"/>
      <c r="F182" s="156"/>
      <c r="G182" s="156"/>
      <c r="H182" s="156"/>
      <c r="I182" s="156"/>
      <c r="J182" s="156"/>
      <c r="K182" s="160"/>
    </row>
    <row r="183" spans="1:11" s="3" customFormat="1" ht="11.25" customHeight="1" x14ac:dyDescent="0.2">
      <c r="A183" s="28"/>
      <c r="K183" s="6"/>
    </row>
    <row r="184" spans="1:11" s="3" customFormat="1" ht="11.25" customHeight="1" x14ac:dyDescent="0.2">
      <c r="A184" s="28"/>
      <c r="K184" s="6"/>
    </row>
    <row r="185" spans="1:11" s="3" customFormat="1" ht="21" customHeight="1" x14ac:dyDescent="0.35">
      <c r="A185" s="100"/>
      <c r="B185" s="109"/>
      <c r="C185" s="109"/>
      <c r="D185" s="340" t="s">
        <v>127</v>
      </c>
      <c r="E185" s="341"/>
      <c r="F185" s="51" t="s">
        <v>128</v>
      </c>
      <c r="I185" s="340" t="s">
        <v>129</v>
      </c>
      <c r="J185" s="341"/>
      <c r="K185" s="185" t="s">
        <v>130</v>
      </c>
    </row>
    <row r="186" spans="1:11" s="3" customFormat="1" ht="11.25" customHeight="1" x14ac:dyDescent="0.2">
      <c r="A186" s="100"/>
      <c r="B186" s="109"/>
      <c r="C186" s="109"/>
      <c r="K186" s="6"/>
    </row>
    <row r="187" spans="1:11" s="3" customFormat="1" ht="18" customHeight="1" x14ac:dyDescent="0.35">
      <c r="A187" s="100"/>
      <c r="B187" s="109"/>
      <c r="C187" s="109"/>
      <c r="D187" s="260" t="s">
        <v>131</v>
      </c>
      <c r="E187" s="84">
        <f>2400*0.0361273/1000</f>
        <v>8.6705520000000008E-2</v>
      </c>
      <c r="F187" s="47" t="s">
        <v>132</v>
      </c>
      <c r="I187" s="262" t="s">
        <v>133</v>
      </c>
      <c r="J187" s="170">
        <f>(E187*D113*E188*E189)/(2*E52)</f>
        <v>7.9796333467666952E-5</v>
      </c>
      <c r="K187" s="6" t="s">
        <v>134</v>
      </c>
    </row>
    <row r="188" spans="1:11" s="3" customFormat="1" ht="11.25" customHeight="1" x14ac:dyDescent="0.2">
      <c r="A188" s="100"/>
      <c r="B188" s="109"/>
      <c r="C188" s="109"/>
      <c r="D188" s="266" t="s">
        <v>135</v>
      </c>
      <c r="E188" s="84">
        <f>C36/12</f>
        <v>9.8425196850393704</v>
      </c>
      <c r="F188" s="4" t="s">
        <v>136</v>
      </c>
      <c r="K188" s="6"/>
    </row>
    <row r="189" spans="1:11" s="3" customFormat="1" ht="15" customHeight="1" x14ac:dyDescent="0.3">
      <c r="A189" s="100"/>
      <c r="B189" s="109"/>
      <c r="C189" s="109"/>
      <c r="D189" s="180" t="s">
        <v>137</v>
      </c>
      <c r="E189" s="122">
        <v>1.5</v>
      </c>
      <c r="F189" s="47" t="s">
        <v>138</v>
      </c>
      <c r="K189" s="6"/>
    </row>
    <row r="190" spans="1:11" s="3" customFormat="1" ht="18" customHeight="1" x14ac:dyDescent="0.35">
      <c r="A190" s="100"/>
      <c r="B190" s="109"/>
      <c r="C190" s="109"/>
      <c r="D190" s="147" t="s">
        <v>139</v>
      </c>
      <c r="E190" s="92">
        <f>$E$187*$E$188*$E$189/2</f>
        <v>0.64005059055118119</v>
      </c>
      <c r="F190" s="69" t="s">
        <v>88</v>
      </c>
      <c r="K190" s="6"/>
    </row>
    <row r="191" spans="1:11" s="3" customFormat="1" ht="11.25" customHeight="1" x14ac:dyDescent="0.25">
      <c r="A191" s="100"/>
      <c r="B191" s="109"/>
      <c r="C191" s="109"/>
      <c r="D191" s="181"/>
      <c r="E191" s="182"/>
      <c r="F191" s="69"/>
      <c r="K191" s="6"/>
    </row>
    <row r="192" spans="1:11" s="3" customFormat="1" ht="11.25" customHeight="1" x14ac:dyDescent="0.25">
      <c r="A192" s="100"/>
      <c r="B192" s="109"/>
      <c r="C192" s="109"/>
      <c r="D192" s="181"/>
      <c r="E192" s="182"/>
      <c r="F192" s="69"/>
      <c r="K192" s="6"/>
    </row>
    <row r="193" spans="1:11" s="3" customFormat="1" ht="11.25" customHeight="1" x14ac:dyDescent="0.2">
      <c r="A193" s="28" t="s">
        <v>140</v>
      </c>
      <c r="K193" s="6"/>
    </row>
    <row r="194" spans="1:11" s="3" customFormat="1" ht="11.25" customHeight="1" x14ac:dyDescent="0.2">
      <c r="A194" s="28"/>
      <c r="K194" s="6"/>
    </row>
    <row r="195" spans="1:11" s="3" customFormat="1" ht="11.25" customHeight="1" x14ac:dyDescent="0.2">
      <c r="A195" s="29"/>
      <c r="K195" s="6"/>
    </row>
    <row r="196" spans="1:11" s="3" customFormat="1" ht="56.25" customHeight="1" x14ac:dyDescent="0.2">
      <c r="A196" s="29"/>
      <c r="B196" s="344" t="s">
        <v>141</v>
      </c>
      <c r="C196" s="344"/>
      <c r="D196" s="259" t="s">
        <v>142</v>
      </c>
      <c r="E196" s="259" t="s">
        <v>143</v>
      </c>
      <c r="F196" s="259" t="s">
        <v>144</v>
      </c>
      <c r="G196" s="167"/>
      <c r="K196" s="6"/>
    </row>
    <row r="197" spans="1:11" s="3" customFormat="1" ht="13.5" customHeight="1" x14ac:dyDescent="0.2">
      <c r="A197" s="29"/>
      <c r="B197" s="354" t="s">
        <v>145</v>
      </c>
      <c r="C197" s="354"/>
      <c r="D197" s="149">
        <f>$E$123</f>
        <v>436.52379434923569</v>
      </c>
      <c r="E197" s="334">
        <v>595</v>
      </c>
      <c r="F197" s="149">
        <f>($D$197/$E$197)*100</f>
        <v>73.365343588106839</v>
      </c>
      <c r="G197" s="5"/>
      <c r="K197" s="6"/>
    </row>
    <row r="198" spans="1:11" s="3" customFormat="1" ht="13.5" customHeight="1" x14ac:dyDescent="0.2">
      <c r="A198" s="29"/>
      <c r="B198" s="354" t="s">
        <v>146</v>
      </c>
      <c r="C198" s="354"/>
      <c r="D198" s="149">
        <f>$E$125</f>
        <v>436.52379434923569</v>
      </c>
      <c r="E198" s="360"/>
      <c r="F198" s="149">
        <f>($D$198/$E$197)*100</f>
        <v>73.365343588106839</v>
      </c>
      <c r="G198" s="5"/>
      <c r="K198" s="6"/>
    </row>
    <row r="199" spans="1:11" s="3" customFormat="1" ht="13.5" customHeight="1" x14ac:dyDescent="0.2">
      <c r="A199" s="29"/>
      <c r="B199" s="354" t="s">
        <v>147</v>
      </c>
      <c r="C199" s="354"/>
      <c r="D199" s="149">
        <f>$E$127</f>
        <v>371.04522519685042</v>
      </c>
      <c r="E199" s="360"/>
      <c r="F199" s="149">
        <f>($D$199/$E$197)*100</f>
        <v>62.360542049890832</v>
      </c>
      <c r="G199" s="5"/>
      <c r="K199" s="6"/>
    </row>
    <row r="200" spans="1:11" s="3" customFormat="1" ht="13.5" customHeight="1" x14ac:dyDescent="0.2">
      <c r="A200" s="29"/>
      <c r="B200" s="354" t="s">
        <v>148</v>
      </c>
      <c r="C200" s="354"/>
      <c r="D200" s="149">
        <f>$E$129</f>
        <v>371.04522519685042</v>
      </c>
      <c r="E200" s="361"/>
      <c r="F200" s="149">
        <f>($D$200/$E$197)*100</f>
        <v>62.360542049890832</v>
      </c>
      <c r="G200" s="5"/>
      <c r="K200" s="6"/>
    </row>
    <row r="201" spans="1:11" s="3" customFormat="1" ht="11.25" customHeight="1" x14ac:dyDescent="0.2">
      <c r="A201" s="29"/>
      <c r="K201" s="6"/>
    </row>
    <row r="202" spans="1:11" s="3" customFormat="1" ht="49.5" customHeight="1" x14ac:dyDescent="0.2">
      <c r="A202" s="29"/>
      <c r="B202" s="107"/>
      <c r="C202" s="259" t="s">
        <v>141</v>
      </c>
      <c r="D202" s="259" t="s">
        <v>149</v>
      </c>
      <c r="E202" s="259" t="s">
        <v>143</v>
      </c>
      <c r="F202" s="259" t="s">
        <v>144</v>
      </c>
      <c r="G202" s="167"/>
      <c r="H202" s="117"/>
      <c r="K202" s="6"/>
    </row>
    <row r="203" spans="1:11" s="3" customFormat="1" ht="11.25" customHeight="1" x14ac:dyDescent="0.2">
      <c r="A203" s="29"/>
      <c r="C203" s="150" t="s">
        <v>150</v>
      </c>
      <c r="D203" s="149">
        <f>$D$150</f>
        <v>338.40095676076663</v>
      </c>
      <c r="E203" s="334">
        <v>595</v>
      </c>
      <c r="F203" s="149">
        <f>($D$203/$E$203)*100</f>
        <v>56.874110379960776</v>
      </c>
      <c r="G203" s="168"/>
      <c r="K203" s="6"/>
    </row>
    <row r="204" spans="1:11" s="3" customFormat="1" ht="11.25" customHeight="1" x14ac:dyDescent="0.2">
      <c r="A204" s="29"/>
      <c r="C204" s="150" t="s">
        <v>151</v>
      </c>
      <c r="D204" s="149">
        <f>$D$165</f>
        <v>347.00582402134864</v>
      </c>
      <c r="E204" s="335"/>
      <c r="F204" s="149">
        <f>($D$204/$E$203)*100</f>
        <v>58.320306558209857</v>
      </c>
      <c r="G204" s="168"/>
      <c r="K204" s="6"/>
    </row>
    <row r="205" spans="1:11" s="3" customFormat="1" ht="11.25" customHeight="1" x14ac:dyDescent="0.2">
      <c r="A205" s="29"/>
      <c r="C205" s="150" t="s">
        <v>152</v>
      </c>
      <c r="D205" s="149">
        <f>$D$177</f>
        <v>274.05722551489077</v>
      </c>
      <c r="E205" s="336"/>
      <c r="F205" s="149">
        <f>($D$205/$E$203)*100</f>
        <v>46.060037901662312</v>
      </c>
      <c r="G205" s="168"/>
      <c r="K205" s="6"/>
    </row>
    <row r="206" spans="1:11" s="3" customFormat="1" ht="11.25" customHeight="1" x14ac:dyDescent="0.2">
      <c r="A206" s="29"/>
      <c r="K206" s="6"/>
    </row>
    <row r="207" spans="1:11" s="3" customFormat="1" ht="11.25" customHeight="1" x14ac:dyDescent="0.2">
      <c r="A207" s="29"/>
      <c r="K207" s="6"/>
    </row>
    <row r="208" spans="1:11" s="3" customFormat="1" ht="11.25" customHeight="1" x14ac:dyDescent="0.2">
      <c r="A208" s="28" t="s">
        <v>153</v>
      </c>
      <c r="K208" s="6"/>
    </row>
    <row r="209" spans="1:11" s="3" customFormat="1" ht="11.25" customHeight="1" x14ac:dyDescent="0.2">
      <c r="A209" s="28"/>
      <c r="K209" s="6"/>
    </row>
    <row r="210" spans="1:11" s="3" customFormat="1" ht="11.25" customHeight="1" x14ac:dyDescent="0.2">
      <c r="A210" s="29"/>
      <c r="K210" s="6"/>
    </row>
    <row r="211" spans="1:11" s="3" customFormat="1" ht="23.25" customHeight="1" x14ac:dyDescent="0.2">
      <c r="A211" s="29"/>
      <c r="B211" s="107"/>
      <c r="C211" s="152" t="s">
        <v>141</v>
      </c>
      <c r="D211" s="152" t="s">
        <v>154</v>
      </c>
      <c r="E211" s="152" t="s">
        <v>155</v>
      </c>
      <c r="F211" s="169"/>
      <c r="G211" s="118"/>
      <c r="H211" s="117"/>
      <c r="K211" s="6"/>
    </row>
    <row r="212" spans="1:11" s="3" customFormat="1" ht="11.25" customHeight="1" x14ac:dyDescent="0.2">
      <c r="A212" s="29"/>
      <c r="C212" s="265" t="s">
        <v>150</v>
      </c>
      <c r="D212" s="119">
        <f>$D$152</f>
        <v>0.10325326338710773</v>
      </c>
      <c r="E212" s="120">
        <f>$D$212*25.4</f>
        <v>2.6226328900325364</v>
      </c>
      <c r="F212" s="117"/>
      <c r="K212" s="6"/>
    </row>
    <row r="213" spans="1:11" s="3" customFormat="1" ht="11.25" customHeight="1" x14ac:dyDescent="0.2">
      <c r="A213" s="29"/>
      <c r="C213" s="265" t="s">
        <v>151</v>
      </c>
      <c r="D213" s="119">
        <f>$D$167</f>
        <v>1.6871347527699618E-2</v>
      </c>
      <c r="E213" s="120">
        <f>$D$213*25.4</f>
        <v>0.42853222720357026</v>
      </c>
      <c r="F213" s="117"/>
      <c r="K213" s="6"/>
    </row>
    <row r="214" spans="1:11" s="3" customFormat="1" ht="11.25" customHeight="1" x14ac:dyDescent="0.2">
      <c r="A214" s="29"/>
      <c r="C214" s="265" t="s">
        <v>152</v>
      </c>
      <c r="D214" s="119">
        <f>$D$179</f>
        <v>5.0903881155234317E-2</v>
      </c>
      <c r="E214" s="120">
        <f>$D$214*25.4</f>
        <v>1.2929585813429516</v>
      </c>
      <c r="F214" s="117"/>
      <c r="K214" s="6"/>
    </row>
    <row r="215" spans="1:11" s="3" customFormat="1" ht="11.25" customHeight="1" x14ac:dyDescent="0.2">
      <c r="A215" s="29"/>
      <c r="K215" s="6"/>
    </row>
    <row r="216" spans="1:11" s="3" customFormat="1" ht="11.25" customHeight="1" x14ac:dyDescent="0.2">
      <c r="A216" s="29"/>
      <c r="K216" s="6"/>
    </row>
    <row r="217" spans="1:11" s="3" customFormat="1" ht="11.25" customHeight="1" x14ac:dyDescent="0.2">
      <c r="A217" s="29"/>
      <c r="K217" s="6"/>
    </row>
    <row r="218" spans="1:11" s="3" customFormat="1" ht="11.25" customHeight="1" x14ac:dyDescent="0.2">
      <c r="A218" s="29"/>
      <c r="K218" s="6"/>
    </row>
    <row r="219" spans="1:11" s="3" customFormat="1" ht="11.25" customHeight="1" x14ac:dyDescent="0.2">
      <c r="A219" s="29"/>
      <c r="K219" s="6"/>
    </row>
    <row r="220" spans="1:11" s="3" customFormat="1" ht="11.25" customHeight="1" x14ac:dyDescent="0.2">
      <c r="A220" s="113"/>
      <c r="B220" s="114"/>
      <c r="C220" s="114"/>
      <c r="D220" s="114"/>
      <c r="E220" s="114"/>
      <c r="F220" s="114"/>
      <c r="G220" s="114"/>
      <c r="H220" s="114"/>
      <c r="I220" s="114"/>
      <c r="J220" s="114"/>
      <c r="K220" s="115"/>
    </row>
  </sheetData>
  <mergeCells count="47">
    <mergeCell ref="E203:E205"/>
    <mergeCell ref="C175:F175"/>
    <mergeCell ref="D185:E185"/>
    <mergeCell ref="I185:J185"/>
    <mergeCell ref="B196:C196"/>
    <mergeCell ref="B197:C197"/>
    <mergeCell ref="E197:E200"/>
    <mergeCell ref="B198:C198"/>
    <mergeCell ref="B199:C199"/>
    <mergeCell ref="B200:C200"/>
    <mergeCell ref="C173:F173"/>
    <mergeCell ref="D119:E119"/>
    <mergeCell ref="I120:K120"/>
    <mergeCell ref="I121:K121"/>
    <mergeCell ref="B135:E135"/>
    <mergeCell ref="B137:E137"/>
    <mergeCell ref="D139:H139"/>
    <mergeCell ref="E140:I140"/>
    <mergeCell ref="C146:F146"/>
    <mergeCell ref="C158:F158"/>
    <mergeCell ref="C160:F160"/>
    <mergeCell ref="B163:D163"/>
    <mergeCell ref="J72:K72"/>
    <mergeCell ref="B103:E103"/>
    <mergeCell ref="B105:E105"/>
    <mergeCell ref="B107:D107"/>
    <mergeCell ref="A109:B109"/>
    <mergeCell ref="C109:E109"/>
    <mergeCell ref="A54:B54"/>
    <mergeCell ref="A57:C57"/>
    <mergeCell ref="D57:E57"/>
    <mergeCell ref="A58:C58"/>
    <mergeCell ref="A59:C59"/>
    <mergeCell ref="D59:G59"/>
    <mergeCell ref="C21:D21"/>
    <mergeCell ref="I21:K21"/>
    <mergeCell ref="A1:K1"/>
    <mergeCell ref="D9:E9"/>
    <mergeCell ref="D10:E10"/>
    <mergeCell ref="D11:E11"/>
    <mergeCell ref="D12:E12"/>
    <mergeCell ref="D13:E13"/>
    <mergeCell ref="C19:D19"/>
    <mergeCell ref="G19:H19"/>
    <mergeCell ref="J19:J20"/>
    <mergeCell ref="C20:D20"/>
    <mergeCell ref="G20:H20"/>
  </mergeCells>
  <pageMargins left="0.39370078740157483" right="0.39370078740157483" top="0.39370078740157483" bottom="0.39370078740157483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4BC05-50BE-4B4D-B1B6-80E1B2FAEE41}">
  <sheetPr>
    <tabColor rgb="FFFFC000"/>
  </sheetPr>
  <dimension ref="A1:L220"/>
  <sheetViews>
    <sheetView showGridLines="0" topLeftCell="A190" zoomScaleNormal="100" workbookViewId="0">
      <selection activeCell="F11" sqref="F11"/>
    </sheetView>
  </sheetViews>
  <sheetFormatPr baseColWidth="10" defaultColWidth="8.85546875" defaultRowHeight="15" x14ac:dyDescent="0.25"/>
  <cols>
    <col min="1" max="1" width="17.28515625" customWidth="1"/>
    <col min="2" max="3" width="11.42578125" customWidth="1"/>
    <col min="4" max="4" width="13.5703125" customWidth="1"/>
    <col min="5" max="10" width="11.42578125" customWidth="1"/>
    <col min="11" max="11" width="9.7109375" customWidth="1"/>
    <col min="12" max="256" width="11.42578125" customWidth="1"/>
  </cols>
  <sheetData>
    <row r="1" spans="1:11" s="2" customFormat="1" ht="15" customHeight="1" x14ac:dyDescent="0.2">
      <c r="A1" s="306" t="s">
        <v>227</v>
      </c>
      <c r="B1" s="307"/>
      <c r="C1" s="307"/>
      <c r="D1" s="307"/>
      <c r="E1" s="307"/>
      <c r="F1" s="307"/>
      <c r="G1" s="307"/>
      <c r="H1" s="307"/>
      <c r="I1" s="307"/>
      <c r="J1" s="307"/>
      <c r="K1" s="308"/>
    </row>
    <row r="2" spans="1:11" s="2" customFormat="1" ht="11.25" customHeight="1" x14ac:dyDescent="0.2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7"/>
    </row>
    <row r="3" spans="1:11" s="3" customFormat="1" ht="11.25" customHeight="1" x14ac:dyDescent="0.2">
      <c r="A3" s="28" t="s">
        <v>5</v>
      </c>
      <c r="K3" s="6"/>
    </row>
    <row r="4" spans="1:11" s="3" customFormat="1" ht="11.25" customHeight="1" x14ac:dyDescent="0.2">
      <c r="A4" s="28"/>
      <c r="K4" s="6"/>
    </row>
    <row r="5" spans="1:11" s="3" customFormat="1" ht="11.25" customHeight="1" x14ac:dyDescent="0.2">
      <c r="A5" s="28"/>
      <c r="K5" s="6"/>
    </row>
    <row r="6" spans="1:11" s="2" customFormat="1" ht="11.25" customHeight="1" x14ac:dyDescent="0.2">
      <c r="A6" s="9" t="s">
        <v>6</v>
      </c>
      <c r="B6" s="18"/>
      <c r="C6" s="18"/>
      <c r="D6" s="11"/>
      <c r="E6" s="12"/>
      <c r="F6" s="12"/>
      <c r="G6" s="13"/>
      <c r="H6" s="14"/>
      <c r="I6" s="15"/>
      <c r="J6" s="16"/>
      <c r="K6" s="17"/>
    </row>
    <row r="7" spans="1:11" s="2" customFormat="1" ht="11.25" customHeight="1" x14ac:dyDescent="0.2">
      <c r="A7" s="9"/>
      <c r="B7" s="18"/>
      <c r="C7" s="18"/>
      <c r="D7" s="11"/>
      <c r="E7" s="12"/>
      <c r="F7" s="12"/>
      <c r="G7" s="13"/>
      <c r="H7" s="14"/>
      <c r="I7" s="15"/>
      <c r="J7" s="16"/>
      <c r="K7" s="17"/>
    </row>
    <row r="8" spans="1:11" s="2" customFormat="1" ht="11.25" customHeight="1" x14ac:dyDescent="0.2">
      <c r="A8" s="9"/>
      <c r="B8" s="18"/>
      <c r="C8" s="18"/>
      <c r="D8" s="11"/>
      <c r="E8" s="12"/>
      <c r="F8" s="12"/>
      <c r="G8" s="13"/>
      <c r="H8" s="14"/>
      <c r="I8" s="15"/>
      <c r="J8" s="16"/>
      <c r="K8" s="17"/>
    </row>
    <row r="9" spans="1:11" s="2" customFormat="1" ht="22.5" customHeight="1" x14ac:dyDescent="0.2">
      <c r="A9" s="10"/>
      <c r="B9" s="19"/>
      <c r="C9" s="19"/>
      <c r="D9" s="304" t="s">
        <v>4</v>
      </c>
      <c r="E9" s="305"/>
      <c r="F9" s="268" t="s">
        <v>7</v>
      </c>
      <c r="G9" s="268" t="s">
        <v>8</v>
      </c>
      <c r="H9" s="19"/>
      <c r="I9" s="19"/>
      <c r="J9" s="19"/>
      <c r="K9" s="20"/>
    </row>
    <row r="10" spans="1:11" s="2" customFormat="1" ht="26.25" customHeight="1" x14ac:dyDescent="0.2">
      <c r="A10" s="21"/>
      <c r="B10" s="15"/>
      <c r="C10" s="22"/>
      <c r="D10" s="309" t="s">
        <v>162</v>
      </c>
      <c r="E10" s="309"/>
      <c r="F10" s="23">
        <v>190</v>
      </c>
      <c r="G10" s="144"/>
      <c r="H10" s="124"/>
      <c r="I10" s="25"/>
      <c r="J10" s="25"/>
      <c r="K10" s="26"/>
    </row>
    <row r="11" spans="1:11" s="2" customFormat="1" ht="15" customHeight="1" x14ac:dyDescent="0.2">
      <c r="A11" s="21"/>
      <c r="B11" s="24"/>
      <c r="C11" s="8"/>
      <c r="D11" s="310" t="s">
        <v>159</v>
      </c>
      <c r="E11" s="310"/>
      <c r="F11" s="257">
        <v>150</v>
      </c>
      <c r="G11" s="123"/>
      <c r="H11" s="25"/>
      <c r="I11" s="25"/>
      <c r="J11" s="25"/>
      <c r="K11" s="26"/>
    </row>
    <row r="12" spans="1:11" s="2" customFormat="1" ht="13.5" customHeight="1" x14ac:dyDescent="0.2">
      <c r="A12" s="21"/>
      <c r="B12" s="24"/>
      <c r="C12" s="8"/>
      <c r="D12" s="310" t="s">
        <v>9</v>
      </c>
      <c r="E12" s="310"/>
      <c r="F12" s="125">
        <v>54</v>
      </c>
      <c r="G12" s="126"/>
      <c r="H12" s="25"/>
      <c r="I12" s="25"/>
      <c r="J12" s="25"/>
      <c r="K12" s="26"/>
    </row>
    <row r="13" spans="1:11" s="2" customFormat="1" ht="34.5" customHeight="1" x14ac:dyDescent="0.2">
      <c r="A13" s="21"/>
      <c r="B13" s="24"/>
      <c r="C13" s="8"/>
      <c r="D13" s="310" t="s">
        <v>10</v>
      </c>
      <c r="E13" s="310"/>
      <c r="F13" s="140" t="s">
        <v>11</v>
      </c>
      <c r="G13" s="143"/>
      <c r="H13" s="25"/>
      <c r="I13" s="25"/>
      <c r="J13" s="25"/>
      <c r="K13" s="26"/>
    </row>
    <row r="14" spans="1:11" s="3" customFormat="1" ht="10.5" customHeight="1" x14ac:dyDescent="0.25">
      <c r="A14" s="97"/>
      <c r="B14" s="98"/>
      <c r="C14" s="27"/>
      <c r="D14" s="27"/>
      <c r="E14" s="27"/>
      <c r="F14" s="27"/>
      <c r="G14" s="27"/>
      <c r="H14" s="98"/>
      <c r="I14" s="98"/>
      <c r="J14" s="98"/>
      <c r="K14" s="99"/>
    </row>
    <row r="15" spans="1:11" s="3" customFormat="1" ht="10.5" customHeight="1" x14ac:dyDescent="0.25">
      <c r="A15" s="97"/>
      <c r="B15" s="98"/>
      <c r="C15" s="27"/>
      <c r="D15" s="27"/>
      <c r="E15" s="27"/>
      <c r="F15" s="27"/>
      <c r="G15" s="27"/>
      <c r="H15" s="98"/>
      <c r="I15" s="98"/>
      <c r="J15" s="98"/>
      <c r="K15" s="99"/>
    </row>
    <row r="16" spans="1:11" s="3" customFormat="1" ht="11.25" customHeight="1" x14ac:dyDescent="0.2">
      <c r="A16" s="30" t="s">
        <v>12</v>
      </c>
      <c r="K16" s="6"/>
    </row>
    <row r="17" spans="1:11" s="3" customFormat="1" ht="11.25" customHeight="1" x14ac:dyDescent="0.2">
      <c r="A17" s="30"/>
      <c r="K17" s="6"/>
    </row>
    <row r="18" spans="1:11" s="3" customFormat="1" ht="11.25" customHeight="1" x14ac:dyDescent="0.2">
      <c r="A18" s="28"/>
      <c r="K18" s="6"/>
    </row>
    <row r="19" spans="1:11" s="3" customFormat="1" ht="11.25" customHeight="1" x14ac:dyDescent="0.2">
      <c r="A19" s="40" t="s">
        <v>13</v>
      </c>
      <c r="C19" s="311" t="s">
        <v>14</v>
      </c>
      <c r="D19" s="311"/>
      <c r="E19" s="32">
        <v>3</v>
      </c>
      <c r="F19" s="33" t="s">
        <v>2</v>
      </c>
      <c r="G19" s="362" t="s">
        <v>15</v>
      </c>
      <c r="H19" s="362"/>
      <c r="I19" s="34">
        <v>7.3</v>
      </c>
      <c r="J19" s="322" t="s">
        <v>16</v>
      </c>
      <c r="K19" s="267">
        <v>4</v>
      </c>
    </row>
    <row r="20" spans="1:11" s="3" customFormat="1" ht="11.25" customHeight="1" x14ac:dyDescent="0.2">
      <c r="A20" s="29"/>
      <c r="C20" s="322" t="s">
        <v>17</v>
      </c>
      <c r="D20" s="322"/>
      <c r="E20" s="32">
        <f>5.92/2</f>
        <v>2.96</v>
      </c>
      <c r="F20" s="33" t="s">
        <v>2</v>
      </c>
      <c r="G20" s="363" t="s">
        <v>18</v>
      </c>
      <c r="H20" s="363"/>
      <c r="I20" s="173">
        <f>I19*2</f>
        <v>14.6</v>
      </c>
      <c r="J20" s="322"/>
      <c r="K20" s="174" t="s">
        <v>19</v>
      </c>
    </row>
    <row r="21" spans="1:11" s="3" customFormat="1" ht="11.25" customHeight="1" x14ac:dyDescent="0.2">
      <c r="A21" s="29"/>
      <c r="B21" s="267" t="s">
        <v>20</v>
      </c>
      <c r="C21" s="322" t="s">
        <v>21</v>
      </c>
      <c r="D21" s="322"/>
      <c r="E21" s="37">
        <v>3</v>
      </c>
      <c r="F21" s="33" t="s">
        <v>2</v>
      </c>
      <c r="G21" s="171" t="s">
        <v>22</v>
      </c>
      <c r="H21" s="172">
        <f>E21/E19</f>
        <v>1</v>
      </c>
      <c r="I21" s="318" t="s">
        <v>156</v>
      </c>
      <c r="J21" s="318"/>
      <c r="K21" s="319"/>
    </row>
    <row r="22" spans="1:11" s="3" customFormat="1" ht="11.25" customHeight="1" x14ac:dyDescent="0.2">
      <c r="A22" s="29"/>
      <c r="K22" s="6"/>
    </row>
    <row r="23" spans="1:11" s="3" customFormat="1" ht="11.25" customHeight="1" x14ac:dyDescent="0.2">
      <c r="A23" s="29"/>
      <c r="K23" s="6"/>
    </row>
    <row r="24" spans="1:11" s="3" customFormat="1" ht="11.25" customHeight="1" x14ac:dyDescent="0.2">
      <c r="A24" s="28" t="s">
        <v>23</v>
      </c>
      <c r="K24" s="6"/>
    </row>
    <row r="25" spans="1:11" s="3" customFormat="1" ht="11.25" customHeight="1" x14ac:dyDescent="0.2">
      <c r="A25" s="28"/>
      <c r="K25" s="6"/>
    </row>
    <row r="26" spans="1:11" s="3" customFormat="1" ht="11.25" customHeight="1" x14ac:dyDescent="0.2">
      <c r="A26" s="28"/>
      <c r="K26" s="6"/>
    </row>
    <row r="27" spans="1:11" s="3" customFormat="1" ht="11.25" customHeight="1" x14ac:dyDescent="0.2">
      <c r="A27" s="41" t="s">
        <v>24</v>
      </c>
      <c r="B27" s="4" t="s">
        <v>25</v>
      </c>
      <c r="C27" s="4"/>
      <c r="G27" s="223"/>
      <c r="H27" s="224"/>
      <c r="I27" s="165"/>
      <c r="K27" s="6"/>
    </row>
    <row r="28" spans="1:11" s="3" customFormat="1" ht="11.25" customHeight="1" x14ac:dyDescent="0.2">
      <c r="A28" s="139"/>
      <c r="B28" s="4"/>
      <c r="C28" s="4"/>
      <c r="G28" s="127"/>
      <c r="H28" s="138"/>
      <c r="I28" s="165"/>
      <c r="K28" s="6"/>
    </row>
    <row r="29" spans="1:11" s="3" customFormat="1" ht="11.25" customHeight="1" x14ac:dyDescent="0.2">
      <c r="A29" s="139"/>
      <c r="B29" s="4"/>
      <c r="C29" s="4"/>
      <c r="K29" s="6"/>
    </row>
    <row r="30" spans="1:11" s="3" customFormat="1" ht="11.25" customHeight="1" x14ac:dyDescent="0.2">
      <c r="A30" s="30" t="s">
        <v>26</v>
      </c>
      <c r="B30" s="127"/>
      <c r="C30" s="138"/>
      <c r="D30" s="33"/>
      <c r="E30" s="38"/>
      <c r="G30" s="33"/>
      <c r="H30" s="33"/>
      <c r="I30" s="33"/>
      <c r="J30" s="33"/>
      <c r="K30" s="6"/>
    </row>
    <row r="31" spans="1:11" s="3" customFormat="1" ht="11.25" customHeight="1" x14ac:dyDescent="0.2">
      <c r="A31" s="30"/>
      <c r="B31" s="127"/>
      <c r="C31" s="138"/>
      <c r="D31" s="33"/>
      <c r="E31" s="38"/>
      <c r="G31" s="33"/>
      <c r="H31" s="33"/>
      <c r="I31" s="33"/>
      <c r="J31" s="33"/>
      <c r="K31" s="6"/>
    </row>
    <row r="32" spans="1:11" s="3" customFormat="1" ht="11.25" customHeight="1" x14ac:dyDescent="0.2">
      <c r="A32" s="29"/>
      <c r="B32" s="127"/>
      <c r="C32" s="138"/>
      <c r="D32" s="33"/>
      <c r="E32" s="38"/>
      <c r="G32" s="33"/>
      <c r="H32" s="33"/>
      <c r="I32" s="33"/>
      <c r="J32" s="33"/>
      <c r="K32" s="6"/>
    </row>
    <row r="33" spans="1:11" s="3" customFormat="1" ht="11.25" customHeight="1" x14ac:dyDescent="0.2">
      <c r="A33" s="39"/>
      <c r="C33" s="40" t="s">
        <v>27</v>
      </c>
      <c r="D33" s="40" t="s">
        <v>28</v>
      </c>
      <c r="E33" s="41" t="s">
        <v>29</v>
      </c>
      <c r="G33" s="44"/>
      <c r="K33" s="6"/>
    </row>
    <row r="34" spans="1:11" s="3" customFormat="1" ht="11.25" customHeight="1" x14ac:dyDescent="0.2">
      <c r="A34" s="39"/>
      <c r="C34" s="42">
        <f>E21</f>
        <v>3</v>
      </c>
      <c r="D34" s="42">
        <v>2.97</v>
      </c>
      <c r="E34" s="42">
        <f>F10/1000</f>
        <v>0.19</v>
      </c>
      <c r="K34" s="6"/>
    </row>
    <row r="35" spans="1:11" s="3" customFormat="1" ht="11.25" customHeight="1" x14ac:dyDescent="0.2">
      <c r="A35" s="29"/>
      <c r="C35" s="40" t="s">
        <v>30</v>
      </c>
      <c r="D35" s="40" t="s">
        <v>31</v>
      </c>
      <c r="E35" s="41" t="s">
        <v>32</v>
      </c>
      <c r="F35" s="4"/>
      <c r="G35" s="163"/>
      <c r="K35" s="6"/>
    </row>
    <row r="36" spans="1:11" s="3" customFormat="1" ht="11.25" customHeight="1" x14ac:dyDescent="0.2">
      <c r="A36" s="29"/>
      <c r="C36" s="43">
        <f>C34/0.0254</f>
        <v>118.11023622047244</v>
      </c>
      <c r="D36" s="43">
        <f>D34/0.0254</f>
        <v>116.92913385826773</v>
      </c>
      <c r="E36" s="43">
        <f>E34/0.0254</f>
        <v>7.4803149606299213</v>
      </c>
      <c r="K36" s="6"/>
    </row>
    <row r="37" spans="1:11" s="3" customFormat="1" ht="11.25" customHeight="1" x14ac:dyDescent="0.2">
      <c r="A37" s="29"/>
      <c r="K37" s="6"/>
    </row>
    <row r="38" spans="1:11" s="3" customFormat="1" ht="11.25" customHeight="1" x14ac:dyDescent="0.2">
      <c r="A38" s="52"/>
      <c r="D38" s="25"/>
      <c r="E38" s="25"/>
      <c r="F38" s="25"/>
      <c r="G38" s="25"/>
      <c r="H38" s="44"/>
      <c r="I38" s="47"/>
      <c r="J38" s="44"/>
      <c r="K38" s="6"/>
    </row>
    <row r="39" spans="1:11" s="3" customFormat="1" ht="10.5" customHeight="1" x14ac:dyDescent="0.2">
      <c r="A39" s="29"/>
      <c r="B39" s="44"/>
      <c r="I39" s="47"/>
      <c r="J39" s="44"/>
      <c r="K39" s="6"/>
    </row>
    <row r="40" spans="1:11" s="3" customFormat="1" ht="10.5" customHeight="1" x14ac:dyDescent="0.2">
      <c r="A40" s="29"/>
      <c r="I40" s="47"/>
      <c r="J40" s="44"/>
      <c r="K40" s="6"/>
    </row>
    <row r="41" spans="1:11" s="3" customFormat="1" ht="10.5" customHeight="1" x14ac:dyDescent="0.2">
      <c r="A41" s="29"/>
      <c r="I41" s="47"/>
      <c r="J41" s="44"/>
      <c r="K41" s="6"/>
    </row>
    <row r="42" spans="1:11" s="3" customFormat="1" ht="15" customHeight="1" x14ac:dyDescent="0.2">
      <c r="A42" s="29"/>
      <c r="I42" s="47"/>
      <c r="J42" s="44"/>
      <c r="K42" s="6"/>
    </row>
    <row r="43" spans="1:11" s="3" customFormat="1" ht="15" customHeight="1" x14ac:dyDescent="0.2">
      <c r="A43" s="29"/>
      <c r="B43" s="164"/>
      <c r="H43" s="142"/>
      <c r="I43" s="47"/>
      <c r="J43" s="163"/>
      <c r="K43" s="6"/>
    </row>
    <row r="44" spans="1:11" s="3" customFormat="1" ht="10.5" customHeight="1" x14ac:dyDescent="0.2">
      <c r="A44" s="29"/>
      <c r="I44" s="47"/>
      <c r="J44" s="44"/>
      <c r="K44" s="6"/>
    </row>
    <row r="45" spans="1:11" s="3" customFormat="1" ht="10.5" customHeight="1" x14ac:dyDescent="0.2">
      <c r="A45" s="113"/>
      <c r="B45" s="114"/>
      <c r="C45" s="114"/>
      <c r="D45" s="114"/>
      <c r="E45" s="114"/>
      <c r="F45" s="114"/>
      <c r="G45" s="114"/>
      <c r="H45" s="114"/>
      <c r="I45" s="57"/>
      <c r="J45" s="154"/>
      <c r="K45" s="115"/>
    </row>
    <row r="46" spans="1:11" s="33" customFormat="1" ht="11.25" customHeight="1" x14ac:dyDescent="0.2">
      <c r="A46" s="155" t="s">
        <v>33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41"/>
    </row>
    <row r="47" spans="1:11" s="33" customFormat="1" ht="11.25" customHeight="1" x14ac:dyDescent="0.2">
      <c r="A47" s="28"/>
      <c r="K47" s="53"/>
    </row>
    <row r="48" spans="1:11" s="33" customFormat="1" ht="11.25" customHeight="1" x14ac:dyDescent="0.2">
      <c r="A48" s="54"/>
      <c r="K48" s="53"/>
    </row>
    <row r="49" spans="1:11" s="33" customFormat="1" ht="11.25" customHeight="1" x14ac:dyDescent="0.2">
      <c r="A49" s="52" t="s">
        <v>34</v>
      </c>
      <c r="K49" s="53"/>
    </row>
    <row r="50" spans="1:11" s="33" customFormat="1" ht="11.25" customHeight="1" x14ac:dyDescent="0.2">
      <c r="A50" s="52"/>
      <c r="K50" s="53"/>
    </row>
    <row r="51" spans="1:11" s="33" customFormat="1" ht="11.25" customHeight="1" x14ac:dyDescent="0.2">
      <c r="A51" s="54"/>
      <c r="K51" s="53"/>
    </row>
    <row r="52" spans="1:11" s="33" customFormat="1" ht="11.25" customHeight="1" x14ac:dyDescent="0.2">
      <c r="A52" s="267" t="s">
        <v>35</v>
      </c>
      <c r="B52" s="267" t="s">
        <v>36</v>
      </c>
      <c r="C52" s="267">
        <v>4200</v>
      </c>
      <c r="D52" s="66" t="s">
        <v>3</v>
      </c>
      <c r="E52" s="267">
        <f>C52/0.07</f>
        <v>59999.999999999993</v>
      </c>
      <c r="F52" s="66" t="s">
        <v>37</v>
      </c>
      <c r="K52" s="53"/>
    </row>
    <row r="53" spans="1:11" s="33" customFormat="1" ht="11.25" customHeight="1" x14ac:dyDescent="0.2">
      <c r="A53" s="267" t="s">
        <v>38</v>
      </c>
      <c r="B53" s="61" t="s">
        <v>39</v>
      </c>
      <c r="C53" s="267">
        <v>12.7</v>
      </c>
      <c r="D53" s="66" t="s">
        <v>40</v>
      </c>
      <c r="E53" s="62">
        <f>C53/25.4</f>
        <v>0.5</v>
      </c>
      <c r="F53" s="66" t="s">
        <v>41</v>
      </c>
      <c r="K53" s="53"/>
    </row>
    <row r="54" spans="1:11" s="33" customFormat="1" ht="11.25" customHeight="1" x14ac:dyDescent="0.2">
      <c r="A54" s="315" t="s">
        <v>42</v>
      </c>
      <c r="B54" s="317"/>
      <c r="C54" s="267" t="s">
        <v>43</v>
      </c>
      <c r="K54" s="53"/>
    </row>
    <row r="55" spans="1:11" s="33" customFormat="1" ht="11.25" customHeight="1" x14ac:dyDescent="0.2">
      <c r="A55" s="48"/>
      <c r="B55" s="63"/>
      <c r="K55" s="53"/>
    </row>
    <row r="56" spans="1:11" s="33" customFormat="1" ht="11.25" customHeight="1" x14ac:dyDescent="0.2">
      <c r="A56" s="70" t="s">
        <v>44</v>
      </c>
      <c r="K56" s="53"/>
    </row>
    <row r="57" spans="1:11" s="33" customFormat="1" ht="11.25" customHeight="1" x14ac:dyDescent="0.2">
      <c r="A57" s="315" t="s">
        <v>45</v>
      </c>
      <c r="B57" s="316"/>
      <c r="C57" s="317"/>
      <c r="D57" s="313" t="s">
        <v>13</v>
      </c>
      <c r="E57" s="314"/>
      <c r="K57" s="53"/>
    </row>
    <row r="58" spans="1:11" s="33" customFormat="1" ht="11.25" customHeight="1" x14ac:dyDescent="0.2">
      <c r="A58" s="315" t="s">
        <v>46</v>
      </c>
      <c r="B58" s="316"/>
      <c r="C58" s="317"/>
      <c r="D58" s="193" t="s">
        <v>157</v>
      </c>
      <c r="E58" s="194"/>
      <c r="F58" s="195"/>
      <c r="G58" s="261"/>
      <c r="K58" s="53"/>
    </row>
    <row r="59" spans="1:11" s="33" customFormat="1" ht="11.25" customHeight="1" x14ac:dyDescent="0.2">
      <c r="A59" s="315" t="s">
        <v>47</v>
      </c>
      <c r="B59" s="316"/>
      <c r="C59" s="317"/>
      <c r="D59" s="326" t="s">
        <v>48</v>
      </c>
      <c r="E59" s="327"/>
      <c r="F59" s="327"/>
      <c r="G59" s="328"/>
      <c r="K59" s="53"/>
    </row>
    <row r="60" spans="1:11" s="33" customFormat="1" ht="11.25" customHeight="1" x14ac:dyDescent="0.2">
      <c r="A60" s="54"/>
      <c r="K60" s="53"/>
    </row>
    <row r="61" spans="1:11" s="33" customFormat="1" ht="11.25" customHeight="1" x14ac:dyDescent="0.2">
      <c r="A61" s="54"/>
      <c r="K61" s="53"/>
    </row>
    <row r="62" spans="1:11" s="33" customFormat="1" ht="11.25" customHeight="1" x14ac:dyDescent="0.2">
      <c r="A62" s="70" t="s">
        <v>49</v>
      </c>
      <c r="B62" s="64"/>
      <c r="E62" s="65"/>
      <c r="K62" s="53"/>
    </row>
    <row r="63" spans="1:11" s="33" customFormat="1" ht="11.25" customHeight="1" x14ac:dyDescent="0.2">
      <c r="A63" s="267" t="s">
        <v>50</v>
      </c>
      <c r="B63" s="267" t="s">
        <v>51</v>
      </c>
      <c r="C63" s="128">
        <f>($D$34-0.2)</f>
        <v>2.77</v>
      </c>
      <c r="D63" s="66" t="s">
        <v>52</v>
      </c>
      <c r="E63" s="66"/>
      <c r="K63" s="53"/>
    </row>
    <row r="64" spans="1:11" s="33" customFormat="1" ht="11.25" customHeight="1" x14ac:dyDescent="0.2">
      <c r="A64" s="67" t="s">
        <v>53</v>
      </c>
      <c r="B64" s="67" t="s">
        <v>54</v>
      </c>
      <c r="C64" s="267">
        <v>0.2</v>
      </c>
      <c r="D64" s="66" t="s">
        <v>52</v>
      </c>
      <c r="K64" s="53"/>
    </row>
    <row r="65" spans="1:11" s="33" customFormat="1" ht="11.25" customHeight="1" x14ac:dyDescent="0.2">
      <c r="A65" s="266" t="s">
        <v>55</v>
      </c>
      <c r="B65" s="179">
        <f>($C$34)/($C$64)</f>
        <v>15</v>
      </c>
      <c r="C65" s="68"/>
      <c r="K65" s="53"/>
    </row>
    <row r="66" spans="1:11" s="33" customFormat="1" ht="11.25" customHeight="1" x14ac:dyDescent="0.2">
      <c r="A66" s="93"/>
      <c r="B66" s="177"/>
      <c r="C66" s="178"/>
      <c r="K66" s="53"/>
    </row>
    <row r="67" spans="1:11" s="33" customFormat="1" ht="11.25" customHeight="1" x14ac:dyDescent="0.2">
      <c r="A67" s="54"/>
      <c r="K67" s="53"/>
    </row>
    <row r="68" spans="1:11" s="33" customFormat="1" ht="11.25" customHeight="1" x14ac:dyDescent="0.2">
      <c r="A68" s="70" t="s">
        <v>56</v>
      </c>
      <c r="B68" s="64"/>
      <c r="E68" s="65"/>
      <c r="K68" s="53"/>
    </row>
    <row r="69" spans="1:11" s="33" customFormat="1" ht="11.25" customHeight="1" x14ac:dyDescent="0.2">
      <c r="A69" s="267" t="s">
        <v>50</v>
      </c>
      <c r="B69" s="267" t="s">
        <v>51</v>
      </c>
      <c r="C69" s="128">
        <f>($C$34-0.2)</f>
        <v>2.8</v>
      </c>
      <c r="D69" s="66" t="s">
        <v>52</v>
      </c>
      <c r="E69" s="66"/>
      <c r="K69" s="53"/>
    </row>
    <row r="70" spans="1:11" s="33" customFormat="1" ht="11.25" customHeight="1" x14ac:dyDescent="0.2">
      <c r="A70" s="67" t="s">
        <v>53</v>
      </c>
      <c r="B70" s="67" t="s">
        <v>54</v>
      </c>
      <c r="C70" s="267">
        <v>0.2</v>
      </c>
      <c r="D70" s="66" t="s">
        <v>52</v>
      </c>
      <c r="K70" s="53"/>
    </row>
    <row r="71" spans="1:11" s="33" customFormat="1" ht="11.25" customHeight="1" x14ac:dyDescent="0.2">
      <c r="A71" s="266" t="s">
        <v>55</v>
      </c>
      <c r="B71" s="179">
        <f>($D$34)/($C$70)</f>
        <v>14.85</v>
      </c>
      <c r="C71" s="68"/>
      <c r="K71" s="53"/>
    </row>
    <row r="72" spans="1:11" s="33" customFormat="1" ht="11.25" customHeight="1" x14ac:dyDescent="0.2">
      <c r="A72" s="54"/>
      <c r="D72" s="162"/>
      <c r="E72" s="162"/>
      <c r="F72" s="162"/>
      <c r="G72" s="162"/>
      <c r="H72" s="47"/>
      <c r="I72" s="47"/>
      <c r="J72" s="332"/>
      <c r="K72" s="333"/>
    </row>
    <row r="73" spans="1:11" s="33" customFormat="1" ht="11.25" customHeight="1" x14ac:dyDescent="0.2">
      <c r="A73" s="54"/>
      <c r="I73" s="47"/>
      <c r="K73" s="53"/>
    </row>
    <row r="74" spans="1:11" s="33" customFormat="1" ht="11.25" customHeight="1" x14ac:dyDescent="0.2">
      <c r="A74" s="54"/>
      <c r="K74" s="53"/>
    </row>
    <row r="75" spans="1:11" s="33" customFormat="1" ht="11.25" customHeight="1" x14ac:dyDescent="0.25">
      <c r="A75" s="93"/>
      <c r="B75"/>
      <c r="C75"/>
      <c r="D75"/>
      <c r="E75"/>
      <c r="F75"/>
      <c r="G75" s="3"/>
      <c r="H75" s="3"/>
      <c r="I75" s="3"/>
      <c r="J75" s="3"/>
      <c r="K75" s="264"/>
    </row>
    <row r="76" spans="1:11" s="33" customFormat="1" ht="11.25" customHeight="1" x14ac:dyDescent="0.2">
      <c r="A76" s="54"/>
      <c r="D76" s="44"/>
      <c r="I76" s="44"/>
      <c r="K76" s="53"/>
    </row>
    <row r="77" spans="1:11" s="33" customFormat="1" ht="11.25" customHeight="1" x14ac:dyDescent="0.2">
      <c r="A77" s="186"/>
      <c r="B77" s="4"/>
      <c r="K77" s="53"/>
    </row>
    <row r="78" spans="1:11" s="33" customFormat="1" ht="11.25" customHeight="1" x14ac:dyDescent="0.2">
      <c r="A78" s="186"/>
      <c r="B78" s="162"/>
      <c r="C78" s="162"/>
      <c r="D78" s="162"/>
      <c r="E78" s="162"/>
      <c r="F78" s="162"/>
      <c r="G78" s="47"/>
      <c r="H78" s="47"/>
      <c r="J78" s="47"/>
      <c r="K78" s="46"/>
    </row>
    <row r="79" spans="1:11" s="33" customFormat="1" ht="11.25" customHeight="1" x14ac:dyDescent="0.2">
      <c r="A79" s="54"/>
      <c r="D79" s="162"/>
      <c r="E79" s="162"/>
      <c r="F79" s="162"/>
      <c r="G79" s="162"/>
      <c r="H79" s="162"/>
      <c r="K79" s="53"/>
    </row>
    <row r="80" spans="1:11" s="33" customFormat="1" ht="11.25" customHeight="1" x14ac:dyDescent="0.2">
      <c r="A80" s="54"/>
      <c r="B80" s="175"/>
      <c r="C80" s="175"/>
      <c r="D80" s="175"/>
      <c r="E80" s="175"/>
      <c r="F80" s="175"/>
      <c r="H80" s="176"/>
      <c r="I80" s="176"/>
      <c r="J80" s="176"/>
      <c r="K80" s="53"/>
    </row>
    <row r="81" spans="1:11" s="33" customFormat="1" ht="11.25" customHeight="1" x14ac:dyDescent="0.2">
      <c r="A81" s="54"/>
      <c r="K81" s="53"/>
    </row>
    <row r="82" spans="1:11" s="33" customFormat="1" ht="11.25" customHeight="1" x14ac:dyDescent="0.2">
      <c r="A82" s="54"/>
      <c r="E82" s="59"/>
      <c r="F82" s="142"/>
      <c r="G82" s="44"/>
      <c r="K82" s="53"/>
    </row>
    <row r="83" spans="1:11" s="33" customFormat="1" ht="11.25" customHeight="1" x14ac:dyDescent="0.2">
      <c r="A83" s="54"/>
      <c r="E83" s="59"/>
      <c r="F83" s="44"/>
      <c r="G83" s="44"/>
      <c r="K83" s="53"/>
    </row>
    <row r="84" spans="1:11" s="33" customFormat="1" ht="11.25" customHeight="1" x14ac:dyDescent="0.2">
      <c r="A84" s="54"/>
      <c r="E84" s="59"/>
      <c r="F84" s="44"/>
      <c r="G84" s="44"/>
      <c r="K84" s="53"/>
    </row>
    <row r="85" spans="1:11" s="33" customFormat="1" ht="11.25" customHeight="1" x14ac:dyDescent="0.2">
      <c r="A85" s="54"/>
      <c r="E85" s="59"/>
      <c r="F85" s="44"/>
      <c r="G85" s="63"/>
      <c r="H85" s="45"/>
      <c r="K85" s="53"/>
    </row>
    <row r="86" spans="1:11" s="33" customFormat="1" ht="11.25" customHeight="1" x14ac:dyDescent="0.2">
      <c r="A86" s="54"/>
      <c r="E86" s="59"/>
      <c r="F86" s="44"/>
      <c r="G86" s="63"/>
      <c r="H86" s="45"/>
      <c r="K86" s="53"/>
    </row>
    <row r="87" spans="1:11" s="33" customFormat="1" ht="11.25" customHeight="1" x14ac:dyDescent="0.2">
      <c r="A87" s="54"/>
      <c r="E87" s="59"/>
      <c r="F87" s="44"/>
      <c r="G87" s="63"/>
      <c r="H87" s="45"/>
      <c r="K87" s="53"/>
    </row>
    <row r="88" spans="1:11" s="33" customFormat="1" ht="11.25" customHeight="1" x14ac:dyDescent="0.2">
      <c r="A88" s="54"/>
      <c r="E88" s="59"/>
      <c r="F88" s="44"/>
      <c r="G88" s="63"/>
      <c r="H88" s="45"/>
      <c r="K88" s="53"/>
    </row>
    <row r="89" spans="1:11" s="33" customFormat="1" ht="11.25" customHeight="1" x14ac:dyDescent="0.2">
      <c r="A89" s="54"/>
      <c r="E89" s="59"/>
      <c r="F89" s="44"/>
      <c r="G89" s="63"/>
      <c r="H89" s="45"/>
      <c r="K89" s="53"/>
    </row>
    <row r="90" spans="1:11" s="33" customFormat="1" ht="11.25" customHeight="1" x14ac:dyDescent="0.2">
      <c r="A90" s="54"/>
      <c r="E90" s="59"/>
      <c r="F90" s="44"/>
      <c r="G90" s="63"/>
      <c r="H90" s="45"/>
      <c r="K90" s="53"/>
    </row>
    <row r="91" spans="1:11" s="33" customFormat="1" ht="11.25" customHeight="1" x14ac:dyDescent="0.2">
      <c r="A91" s="54"/>
      <c r="E91" s="59"/>
      <c r="F91" s="44"/>
      <c r="G91" s="63"/>
      <c r="H91" s="45"/>
      <c r="K91" s="53"/>
    </row>
    <row r="92" spans="1:11" s="33" customFormat="1" ht="11.25" customHeight="1" x14ac:dyDescent="0.2">
      <c r="A92" s="54"/>
      <c r="E92" s="59"/>
      <c r="F92" s="44"/>
      <c r="G92" s="63"/>
      <c r="H92" s="45"/>
      <c r="K92" s="53"/>
    </row>
    <row r="93" spans="1:11" s="33" customFormat="1" ht="11.25" customHeight="1" x14ac:dyDescent="0.2">
      <c r="A93" s="54"/>
      <c r="E93" s="59"/>
      <c r="F93" s="44"/>
      <c r="G93" s="63"/>
      <c r="H93" s="45"/>
      <c r="K93" s="53"/>
    </row>
    <row r="94" spans="1:11" s="33" customFormat="1" ht="11.25" customHeight="1" x14ac:dyDescent="0.2">
      <c r="A94" s="54"/>
      <c r="E94" s="59"/>
      <c r="F94" s="44"/>
      <c r="G94" s="44"/>
      <c r="K94" s="53"/>
    </row>
    <row r="95" spans="1:11" s="33" customFormat="1" ht="11.25" customHeight="1" x14ac:dyDescent="0.2">
      <c r="A95" s="54"/>
      <c r="E95" s="59"/>
      <c r="F95" s="44"/>
      <c r="G95" s="44"/>
      <c r="K95" s="53"/>
    </row>
    <row r="96" spans="1:11" s="33" customFormat="1" ht="11.25" customHeight="1" x14ac:dyDescent="0.2">
      <c r="A96" s="145"/>
      <c r="B96" s="56"/>
      <c r="C96" s="56"/>
      <c r="D96" s="56"/>
      <c r="E96" s="187"/>
      <c r="F96" s="154"/>
      <c r="G96" s="188"/>
      <c r="H96" s="56"/>
      <c r="I96" s="56"/>
      <c r="J96" s="56"/>
      <c r="K96" s="58"/>
    </row>
    <row r="97" spans="1:11" s="33" customFormat="1" ht="11.25" customHeight="1" x14ac:dyDescent="0.2">
      <c r="A97" s="158" t="s">
        <v>57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41"/>
    </row>
    <row r="98" spans="1:11" s="33" customFormat="1" ht="11.25" customHeight="1" x14ac:dyDescent="0.2">
      <c r="A98" s="52"/>
      <c r="K98" s="53"/>
    </row>
    <row r="99" spans="1:11" s="33" customFormat="1" ht="11.25" customHeight="1" x14ac:dyDescent="0.2">
      <c r="A99" s="52"/>
      <c r="K99" s="53"/>
    </row>
    <row r="100" spans="1:11" s="33" customFormat="1" ht="11.25" customHeight="1" x14ac:dyDescent="0.2">
      <c r="A100" s="52" t="s">
        <v>58</v>
      </c>
      <c r="K100" s="53"/>
    </row>
    <row r="101" spans="1:11" s="33" customFormat="1" ht="11.25" customHeight="1" x14ac:dyDescent="0.2">
      <c r="A101" s="52"/>
      <c r="K101" s="53"/>
    </row>
    <row r="102" spans="1:11" s="33" customFormat="1" ht="11.25" customHeight="1" x14ac:dyDescent="0.2">
      <c r="A102" s="70"/>
      <c r="K102" s="53"/>
    </row>
    <row r="103" spans="1:11" s="33" customFormat="1" ht="15" customHeight="1" x14ac:dyDescent="0.35">
      <c r="A103" s="54"/>
      <c r="B103" s="345" t="s">
        <v>59</v>
      </c>
      <c r="C103" s="345"/>
      <c r="D103" s="345"/>
      <c r="E103" s="345"/>
      <c r="F103" s="63" t="s">
        <v>60</v>
      </c>
      <c r="K103" s="53"/>
    </row>
    <row r="104" spans="1:11" s="33" customFormat="1" ht="11.25" customHeight="1" x14ac:dyDescent="0.2">
      <c r="A104" s="54"/>
      <c r="B104" s="71"/>
      <c r="C104" s="71"/>
      <c r="D104" s="71"/>
      <c r="K104" s="53"/>
    </row>
    <row r="105" spans="1:11" s="33" customFormat="1" ht="15" customHeight="1" x14ac:dyDescent="0.35">
      <c r="A105" s="54"/>
      <c r="B105" s="346" t="s">
        <v>61</v>
      </c>
      <c r="C105" s="346"/>
      <c r="D105" s="346"/>
      <c r="E105" s="346"/>
      <c r="F105" s="63" t="s">
        <v>62</v>
      </c>
      <c r="K105" s="53"/>
    </row>
    <row r="106" spans="1:11" s="33" customFormat="1" ht="11.25" customHeight="1" x14ac:dyDescent="0.25">
      <c r="A106" s="54"/>
      <c r="B106" s="73"/>
      <c r="C106" s="73"/>
      <c r="D106" s="73"/>
      <c r="E106" s="63"/>
      <c r="K106" s="53"/>
    </row>
    <row r="107" spans="1:11" s="33" customFormat="1" ht="15" customHeight="1" x14ac:dyDescent="0.35">
      <c r="A107" s="54"/>
      <c r="B107" s="346" t="s">
        <v>63</v>
      </c>
      <c r="C107" s="346"/>
      <c r="D107" s="346"/>
      <c r="E107" s="47"/>
      <c r="F107" s="47" t="s">
        <v>64</v>
      </c>
      <c r="H107" s="74"/>
      <c r="K107" s="53"/>
    </row>
    <row r="108" spans="1:11" s="33" customFormat="1" ht="11.25" customHeight="1" x14ac:dyDescent="0.25">
      <c r="A108" s="54"/>
      <c r="B108" s="73"/>
      <c r="C108" s="73"/>
      <c r="D108" s="4"/>
      <c r="K108" s="53"/>
    </row>
    <row r="109" spans="1:11" s="33" customFormat="1" ht="18.75" customHeight="1" x14ac:dyDescent="0.2">
      <c r="A109" s="330" t="s">
        <v>65</v>
      </c>
      <c r="B109" s="331"/>
      <c r="C109" s="329" t="s">
        <v>66</v>
      </c>
      <c r="D109" s="329"/>
      <c r="E109" s="329"/>
      <c r="K109" s="53"/>
    </row>
    <row r="110" spans="1:11" s="33" customFormat="1" ht="11.25" customHeight="1" x14ac:dyDescent="0.2">
      <c r="A110" s="263"/>
      <c r="B110" s="45"/>
      <c r="C110" s="183"/>
      <c r="D110" s="183"/>
      <c r="E110" s="183"/>
      <c r="K110" s="53"/>
    </row>
    <row r="111" spans="1:11" s="3" customFormat="1" ht="11.25" customHeight="1" x14ac:dyDescent="0.2">
      <c r="A111" s="29" t="s">
        <v>67</v>
      </c>
      <c r="D111" s="184">
        <f>$C$36</f>
        <v>118.11023622047244</v>
      </c>
      <c r="E111" s="70" t="s">
        <v>68</v>
      </c>
      <c r="F111" s="75"/>
      <c r="G111" s="33"/>
      <c r="K111" s="6"/>
    </row>
    <row r="112" spans="1:11" s="3" customFormat="1" ht="11.25" customHeight="1" x14ac:dyDescent="0.2">
      <c r="A112" s="29" t="s">
        <v>69</v>
      </c>
      <c r="D112" s="184">
        <v>3674288</v>
      </c>
      <c r="E112" s="70" t="s">
        <v>70</v>
      </c>
      <c r="F112" s="77"/>
      <c r="G112" s="33"/>
      <c r="H112" s="33"/>
      <c r="I112" s="222"/>
      <c r="K112" s="6"/>
    </row>
    <row r="113" spans="1:11" s="3" customFormat="1" ht="11.25" customHeight="1" x14ac:dyDescent="0.2">
      <c r="A113" s="29" t="s">
        <v>71</v>
      </c>
      <c r="D113" s="78">
        <f>$E$36</f>
        <v>7.4803149606299213</v>
      </c>
      <c r="E113" s="70" t="s">
        <v>68</v>
      </c>
      <c r="F113" s="79"/>
      <c r="G113" s="33"/>
      <c r="K113" s="6"/>
    </row>
    <row r="114" spans="1:11" s="3" customFormat="1" ht="11.25" customHeight="1" x14ac:dyDescent="0.25">
      <c r="A114" s="80" t="s">
        <v>72</v>
      </c>
      <c r="D114" s="266">
        <v>0.15</v>
      </c>
      <c r="E114" s="130" t="s">
        <v>0</v>
      </c>
      <c r="F114" s="49"/>
      <c r="G114" s="81"/>
      <c r="K114" s="6"/>
    </row>
    <row r="115" spans="1:11" s="3" customFormat="1" ht="11.25" customHeight="1" x14ac:dyDescent="0.2">
      <c r="A115" s="29" t="s">
        <v>73</v>
      </c>
      <c r="D115" s="76">
        <v>135.55000000000001</v>
      </c>
      <c r="E115" s="131" t="s">
        <v>74</v>
      </c>
      <c r="F115" s="77"/>
      <c r="G115" s="7"/>
      <c r="K115" s="6"/>
    </row>
    <row r="116" spans="1:11" s="3" customFormat="1" ht="15" customHeight="1" x14ac:dyDescent="0.3">
      <c r="A116" s="29" t="s">
        <v>75</v>
      </c>
      <c r="D116" s="78">
        <f>(($D$112*$D$113^3)/(12*(1-$D$114^2)*$D$115))^0.25</f>
        <v>31.360561382197776</v>
      </c>
      <c r="E116" s="70" t="s">
        <v>68</v>
      </c>
      <c r="F116" s="75"/>
      <c r="G116" s="33"/>
      <c r="K116" s="6"/>
    </row>
    <row r="117" spans="1:11" s="3" customFormat="1" ht="11.25" customHeight="1" x14ac:dyDescent="0.2">
      <c r="A117" s="29"/>
      <c r="D117" s="83"/>
      <c r="K117" s="6"/>
    </row>
    <row r="118" spans="1:11" s="3" customFormat="1" ht="11.25" customHeight="1" x14ac:dyDescent="0.2">
      <c r="A118" s="29"/>
      <c r="D118" s="83"/>
      <c r="K118" s="6"/>
    </row>
    <row r="119" spans="1:11" s="33" customFormat="1" ht="11.25" customHeight="1" x14ac:dyDescent="0.2">
      <c r="A119" s="54"/>
      <c r="D119" s="323" t="s">
        <v>76</v>
      </c>
      <c r="E119" s="324"/>
      <c r="K119" s="53"/>
    </row>
    <row r="120" spans="1:11" s="33" customFormat="1" ht="16.5" customHeight="1" x14ac:dyDescent="0.3">
      <c r="A120" s="54"/>
      <c r="B120" s="148" t="s">
        <v>77</v>
      </c>
      <c r="C120" s="76">
        <f>$D$111/$D$116</f>
        <v>3.7662028680238877</v>
      </c>
      <c r="D120" s="110" t="s">
        <v>78</v>
      </c>
      <c r="E120" s="84">
        <v>0.5</v>
      </c>
      <c r="F120" s="86" t="s">
        <v>79</v>
      </c>
      <c r="G120" s="85">
        <v>6.0000000000000002E-6</v>
      </c>
      <c r="H120" s="266" t="s">
        <v>80</v>
      </c>
      <c r="I120" s="325" t="s">
        <v>81</v>
      </c>
      <c r="J120" s="325"/>
      <c r="K120" s="325"/>
    </row>
    <row r="121" spans="1:11" s="33" customFormat="1" ht="15" customHeight="1" x14ac:dyDescent="0.3">
      <c r="A121" s="54"/>
      <c r="B121" s="148" t="s">
        <v>82</v>
      </c>
      <c r="C121" s="76">
        <f>$D$36/$D$116</f>
        <v>3.7285408393436494</v>
      </c>
      <c r="D121" s="110" t="s">
        <v>83</v>
      </c>
      <c r="E121" s="266">
        <v>0.5</v>
      </c>
      <c r="F121" s="86" t="s">
        <v>84</v>
      </c>
      <c r="G121" s="87">
        <v>9</v>
      </c>
      <c r="H121" s="266" t="s">
        <v>85</v>
      </c>
      <c r="I121" s="325" t="s">
        <v>86</v>
      </c>
      <c r="J121" s="325"/>
      <c r="K121" s="325"/>
    </row>
    <row r="122" spans="1:11" s="33" customFormat="1" ht="11.25" customHeight="1" x14ac:dyDescent="0.2">
      <c r="A122" s="54"/>
      <c r="K122" s="53"/>
    </row>
    <row r="123" spans="1:11" s="33" customFormat="1" ht="18" customHeight="1" x14ac:dyDescent="0.25">
      <c r="A123" s="88"/>
      <c r="B123" s="89"/>
      <c r="C123" s="90"/>
      <c r="D123" s="91" t="s">
        <v>87</v>
      </c>
      <c r="E123" s="92">
        <f>((($D$112*$G$120*$G$121)/(2*(1-$D$114^2)))*($E$120+($D$114*$E$121)))*$E$36</f>
        <v>436.52379434923569</v>
      </c>
      <c r="F123" s="129" t="s">
        <v>88</v>
      </c>
      <c r="K123" s="53"/>
    </row>
    <row r="124" spans="1:11" s="33" customFormat="1" ht="11.25" customHeight="1" x14ac:dyDescent="0.2">
      <c r="A124" s="93"/>
      <c r="B124" s="49"/>
      <c r="D124" s="94"/>
      <c r="E124" s="95"/>
      <c r="F124" s="66"/>
      <c r="K124" s="53"/>
    </row>
    <row r="125" spans="1:11" s="33" customFormat="1" ht="18" customHeight="1" x14ac:dyDescent="0.25">
      <c r="A125" s="88"/>
      <c r="B125" s="89"/>
      <c r="C125" s="90"/>
      <c r="D125" s="91" t="s">
        <v>89</v>
      </c>
      <c r="E125" s="92">
        <f>((($D$112*$G$120*$G$121)/(2*(1-$D$114^2)))*($E$121+($D$114*$E$120)))*$E$36</f>
        <v>436.52379434923569</v>
      </c>
      <c r="F125" s="129" t="s">
        <v>88</v>
      </c>
      <c r="K125" s="53"/>
    </row>
    <row r="126" spans="1:11" s="33" customFormat="1" ht="11.25" customHeight="1" x14ac:dyDescent="0.2">
      <c r="A126" s="93"/>
      <c r="B126" s="49"/>
      <c r="D126" s="94"/>
      <c r="E126" s="95"/>
      <c r="F126" s="66"/>
      <c r="K126" s="53"/>
    </row>
    <row r="127" spans="1:11" s="33" customFormat="1" ht="18" customHeight="1" x14ac:dyDescent="0.2">
      <c r="A127" s="88"/>
      <c r="B127" s="89"/>
      <c r="D127" s="91" t="s">
        <v>90</v>
      </c>
      <c r="E127" s="92">
        <f>($E$120*$D$112*$G$120*$G$121/2)*$E$36</f>
        <v>371.04522519685042</v>
      </c>
      <c r="F127" s="129" t="s">
        <v>88</v>
      </c>
      <c r="K127" s="53"/>
    </row>
    <row r="128" spans="1:11" s="33" customFormat="1" ht="11.25" customHeight="1" x14ac:dyDescent="0.2">
      <c r="A128" s="54"/>
      <c r="D128" s="49"/>
      <c r="E128" s="96"/>
      <c r="F128" s="66"/>
      <c r="K128" s="53"/>
    </row>
    <row r="129" spans="1:11" s="33" customFormat="1" ht="18" customHeight="1" x14ac:dyDescent="0.2">
      <c r="A129" s="54"/>
      <c r="D129" s="91" t="s">
        <v>90</v>
      </c>
      <c r="E129" s="92">
        <f>($E$121*$D$112*$G$120*$G$121/2)*$E$36</f>
        <v>371.04522519685042</v>
      </c>
      <c r="F129" s="129" t="s">
        <v>88</v>
      </c>
      <c r="K129" s="53"/>
    </row>
    <row r="130" spans="1:11" s="33" customFormat="1" ht="11.25" customHeight="1" x14ac:dyDescent="0.2">
      <c r="A130" s="54"/>
      <c r="K130" s="53"/>
    </row>
    <row r="131" spans="1:11" s="33" customFormat="1" ht="11.25" customHeight="1" x14ac:dyDescent="0.2">
      <c r="A131" s="54"/>
      <c r="K131" s="53"/>
    </row>
    <row r="132" spans="1:11" ht="11.25" customHeight="1" x14ac:dyDescent="0.25">
      <c r="A132" s="52" t="s">
        <v>91</v>
      </c>
      <c r="K132" s="1"/>
    </row>
    <row r="133" spans="1:11" ht="11.25" customHeight="1" x14ac:dyDescent="0.25">
      <c r="A133" s="52"/>
      <c r="K133" s="1"/>
    </row>
    <row r="134" spans="1:11" ht="11.25" customHeight="1" x14ac:dyDescent="0.25">
      <c r="A134" s="52"/>
      <c r="K134" s="1"/>
    </row>
    <row r="135" spans="1:11" ht="21.75" x14ac:dyDescent="0.25">
      <c r="A135" s="100"/>
      <c r="B135" s="347" t="s">
        <v>92</v>
      </c>
      <c r="C135" s="347"/>
      <c r="D135" s="347"/>
      <c r="E135" s="347"/>
      <c r="F135" s="55" t="s">
        <v>93</v>
      </c>
      <c r="K135" s="1"/>
    </row>
    <row r="136" spans="1:11" s="3" customFormat="1" ht="11.25" customHeight="1" x14ac:dyDescent="0.2">
      <c r="A136" s="29"/>
      <c r="E136" s="4"/>
      <c r="K136" s="6"/>
    </row>
    <row r="137" spans="1:11" s="3" customFormat="1" ht="21.75" x14ac:dyDescent="0.2">
      <c r="A137" s="82"/>
      <c r="B137" s="347" t="s">
        <v>94</v>
      </c>
      <c r="C137" s="347"/>
      <c r="D137" s="347"/>
      <c r="E137" s="347"/>
      <c r="F137" s="55" t="s">
        <v>95</v>
      </c>
      <c r="K137" s="6"/>
    </row>
    <row r="138" spans="1:11" s="3" customFormat="1" ht="11.25" customHeight="1" x14ac:dyDescent="0.2">
      <c r="A138" s="29"/>
      <c r="K138" s="6"/>
    </row>
    <row r="139" spans="1:11" s="3" customFormat="1" ht="15" customHeight="1" x14ac:dyDescent="0.2">
      <c r="A139" s="189"/>
      <c r="B139" s="258"/>
      <c r="C139" s="121" t="s">
        <v>96</v>
      </c>
      <c r="D139" s="342" t="s">
        <v>97</v>
      </c>
      <c r="E139" s="343"/>
      <c r="F139" s="343"/>
      <c r="G139" s="343"/>
      <c r="H139" s="343"/>
      <c r="I139" s="190">
        <f>2.38*($D$148*$D$116)^0.5</f>
        <v>48.822467011902759</v>
      </c>
      <c r="J139" s="159" t="s">
        <v>68</v>
      </c>
      <c r="K139" s="115"/>
    </row>
    <row r="140" spans="1:11" s="3" customFormat="1" ht="35.25" customHeight="1" x14ac:dyDescent="0.2">
      <c r="A140" s="191"/>
      <c r="B140" s="50"/>
      <c r="C140" s="266" t="s">
        <v>98</v>
      </c>
      <c r="D140" s="76">
        <f>K140*2.205</f>
        <v>24255</v>
      </c>
      <c r="E140" s="356" t="s">
        <v>158</v>
      </c>
      <c r="F140" s="357"/>
      <c r="G140" s="357"/>
      <c r="H140" s="357"/>
      <c r="I140" s="358"/>
      <c r="J140" s="101" t="s">
        <v>99</v>
      </c>
      <c r="K140" s="266">
        <f>22*1000/2</f>
        <v>11000</v>
      </c>
    </row>
    <row r="141" spans="1:11" s="3" customFormat="1" ht="11.25" customHeight="1" x14ac:dyDescent="0.2">
      <c r="A141" s="29"/>
      <c r="K141" s="6"/>
    </row>
    <row r="142" spans="1:11" s="3" customFormat="1" ht="11.25" customHeight="1" x14ac:dyDescent="0.2">
      <c r="A142" s="29"/>
      <c r="B142" s="49"/>
      <c r="C142" s="102" t="s">
        <v>100</v>
      </c>
      <c r="D142" s="266">
        <v>80</v>
      </c>
      <c r="E142" s="4" t="s">
        <v>101</v>
      </c>
      <c r="K142" s="6"/>
    </row>
    <row r="143" spans="1:11" s="3" customFormat="1" ht="11.25" customHeight="1" x14ac:dyDescent="0.2">
      <c r="A143" s="29"/>
      <c r="K143" s="6"/>
    </row>
    <row r="144" spans="1:11" s="3" customFormat="1" ht="11.25" customHeight="1" x14ac:dyDescent="0.2">
      <c r="A144" s="29"/>
      <c r="C144" s="256" t="s">
        <v>102</v>
      </c>
      <c r="D144" s="84">
        <v>12.76</v>
      </c>
      <c r="E144" s="4" t="s">
        <v>103</v>
      </c>
      <c r="K144" s="6"/>
    </row>
    <row r="145" spans="1:12" s="3" customFormat="1" ht="11.25" customHeight="1" x14ac:dyDescent="0.2">
      <c r="A145" s="29"/>
      <c r="C145" s="104"/>
      <c r="D145" s="75"/>
      <c r="E145" s="4"/>
      <c r="K145" s="6"/>
    </row>
    <row r="146" spans="1:12" s="3" customFormat="1" ht="11.25" customHeight="1" x14ac:dyDescent="0.2">
      <c r="A146" s="29"/>
      <c r="C146" s="359" t="s">
        <v>104</v>
      </c>
      <c r="D146" s="359"/>
      <c r="E146" s="359"/>
      <c r="F146" s="359"/>
      <c r="G146" s="4" t="s">
        <v>105</v>
      </c>
      <c r="K146" s="6"/>
    </row>
    <row r="147" spans="1:12" s="3" customFormat="1" ht="11.25" customHeight="1" x14ac:dyDescent="0.2">
      <c r="A147" s="29"/>
      <c r="K147" s="6"/>
    </row>
    <row r="148" spans="1:12" s="3" customFormat="1" ht="11.25" customHeight="1" x14ac:dyDescent="0.2">
      <c r="A148" s="93"/>
      <c r="B148" s="44"/>
      <c r="C148" s="266" t="s">
        <v>1</v>
      </c>
      <c r="D148" s="105">
        <f>((0.8521*D140/(D142*3.1416))+(D144/3.1416)*(D140/(0.5227*D142))^0.5)^0.5</f>
        <v>13.418429811636141</v>
      </c>
      <c r="E148" s="69" t="s">
        <v>68</v>
      </c>
      <c r="K148" s="6"/>
      <c r="L148" s="4"/>
    </row>
    <row r="149" spans="1:12" s="3" customFormat="1" ht="11.25" customHeight="1" x14ac:dyDescent="0.2">
      <c r="A149" s="29"/>
      <c r="E149" s="66"/>
      <c r="K149" s="6"/>
    </row>
    <row r="150" spans="1:12" ht="18" customHeight="1" x14ac:dyDescent="0.25">
      <c r="A150" s="88"/>
      <c r="B150" s="89"/>
      <c r="C150" s="91" t="s">
        <v>106</v>
      </c>
      <c r="D150" s="106">
        <f>(3*$D$140/$E$36^2)*(1-($D$148*(2^0.5)/$D$116)^0.6)</f>
        <v>338.40095676076663</v>
      </c>
      <c r="E150" s="129" t="s">
        <v>88</v>
      </c>
      <c r="G150" s="107"/>
      <c r="H150" s="107"/>
      <c r="I150" s="107"/>
      <c r="K150" s="1"/>
    </row>
    <row r="151" spans="1:12" s="3" customFormat="1" ht="11.25" customHeight="1" x14ac:dyDescent="0.2">
      <c r="A151" s="54"/>
      <c r="B151" s="33"/>
      <c r="C151" s="33"/>
      <c r="D151" s="33"/>
      <c r="E151" s="63"/>
      <c r="K151" s="6"/>
    </row>
    <row r="152" spans="1:12" s="3" customFormat="1" ht="18" customHeight="1" x14ac:dyDescent="0.2">
      <c r="A152" s="93"/>
      <c r="B152" s="49"/>
      <c r="C152" s="91" t="s">
        <v>107</v>
      </c>
      <c r="D152" s="108">
        <f>($D$140/($D$115*$D$116^2))*(1.1-(0.88*($D$148*(2^0.5)/$D$116)))</f>
        <v>0.10325326338710773</v>
      </c>
      <c r="E152" s="69" t="s">
        <v>68</v>
      </c>
      <c r="K152" s="6"/>
    </row>
    <row r="153" spans="1:12" s="3" customFormat="1" ht="11.25" customHeight="1" x14ac:dyDescent="0.2">
      <c r="A153" s="29"/>
      <c r="K153" s="6"/>
    </row>
    <row r="154" spans="1:12" s="3" customFormat="1" ht="11.25" customHeight="1" x14ac:dyDescent="0.2">
      <c r="A154" s="29"/>
      <c r="K154" s="6"/>
    </row>
    <row r="155" spans="1:12" ht="11.25" customHeight="1" x14ac:dyDescent="0.25">
      <c r="A155" s="52" t="s">
        <v>108</v>
      </c>
      <c r="K155" s="1"/>
    </row>
    <row r="156" spans="1:12" ht="11.25" customHeight="1" x14ac:dyDescent="0.25">
      <c r="A156" s="52"/>
      <c r="K156" s="1"/>
    </row>
    <row r="157" spans="1:12" ht="11.25" customHeight="1" x14ac:dyDescent="0.25">
      <c r="A157" s="70"/>
      <c r="K157" s="1"/>
    </row>
    <row r="158" spans="1:12" s="3" customFormat="1" ht="18" customHeight="1" x14ac:dyDescent="0.25">
      <c r="A158" s="100"/>
      <c r="B158" s="109"/>
      <c r="C158" s="348" t="s">
        <v>109</v>
      </c>
      <c r="D158" s="349"/>
      <c r="E158" s="349"/>
      <c r="F158" s="350"/>
      <c r="G158" s="47" t="s">
        <v>110</v>
      </c>
      <c r="K158" s="6"/>
    </row>
    <row r="159" spans="1:12" s="3" customFormat="1" ht="11.25" customHeight="1" x14ac:dyDescent="0.2">
      <c r="A159" s="29"/>
      <c r="K159" s="6"/>
    </row>
    <row r="160" spans="1:12" s="3" customFormat="1" ht="21.75" x14ac:dyDescent="0.35">
      <c r="A160" s="82"/>
      <c r="B160" s="107"/>
      <c r="C160" s="351" t="s">
        <v>111</v>
      </c>
      <c r="D160" s="352"/>
      <c r="E160" s="352"/>
      <c r="F160" s="353"/>
      <c r="G160" s="55" t="s">
        <v>112</v>
      </c>
      <c r="K160" s="6"/>
    </row>
    <row r="161" spans="1:11" s="3" customFormat="1" ht="11.25" customHeight="1" x14ac:dyDescent="0.2">
      <c r="A161" s="29"/>
      <c r="K161" s="6"/>
    </row>
    <row r="162" spans="1:11" s="3" customFormat="1" ht="11.25" customHeight="1" x14ac:dyDescent="0.2">
      <c r="A162" s="93"/>
      <c r="B162" s="49"/>
      <c r="C162" s="122" t="s">
        <v>113</v>
      </c>
      <c r="D162" s="122" t="s">
        <v>114</v>
      </c>
      <c r="E162" s="34">
        <f>0.724*$D$113</f>
        <v>5.4157480314960624</v>
      </c>
      <c r="F162" s="69" t="s">
        <v>68</v>
      </c>
      <c r="G162" s="110" t="s">
        <v>115</v>
      </c>
      <c r="H162" s="111" t="s">
        <v>116</v>
      </c>
      <c r="K162" s="6"/>
    </row>
    <row r="163" spans="1:11" s="3" customFormat="1" ht="15" customHeight="1" x14ac:dyDescent="0.2">
      <c r="A163" s="82"/>
      <c r="B163" s="354" t="s">
        <v>117</v>
      </c>
      <c r="C163" s="354"/>
      <c r="D163" s="354"/>
      <c r="E163" s="34">
        <f>(((1.6*$D$148^2)+($D$113^2))^0.5)-(0.675*$D$113)</f>
        <v>13.499154598875826</v>
      </c>
      <c r="F163" s="69" t="s">
        <v>68</v>
      </c>
      <c r="K163" s="6"/>
    </row>
    <row r="164" spans="1:11" s="3" customFormat="1" ht="11.25" customHeight="1" x14ac:dyDescent="0.2">
      <c r="A164" s="29"/>
      <c r="K164" s="6"/>
    </row>
    <row r="165" spans="1:11" s="3" customFormat="1" ht="18" customHeight="1" x14ac:dyDescent="0.35">
      <c r="A165" s="29"/>
      <c r="C165" s="147" t="s">
        <v>118</v>
      </c>
      <c r="D165" s="106">
        <f>(0.316*$D$140/$E$36^2)*(4*LOG($D$116/$E$163)+1.069)</f>
        <v>347.00582402134864</v>
      </c>
      <c r="E165" s="93" t="s">
        <v>88</v>
      </c>
      <c r="K165" s="6"/>
    </row>
    <row r="166" spans="1:11" s="3" customFormat="1" ht="11.25" customHeight="1" x14ac:dyDescent="0.2">
      <c r="A166" s="29"/>
      <c r="C166" s="33"/>
      <c r="D166" s="112"/>
      <c r="E166" s="4"/>
      <c r="K166" s="6"/>
    </row>
    <row r="167" spans="1:11" s="3" customFormat="1" ht="18" customHeight="1" x14ac:dyDescent="0.35">
      <c r="A167" s="29"/>
      <c r="C167" s="147" t="s">
        <v>119</v>
      </c>
      <c r="D167" s="146">
        <f>($D$140/(8*$D$115*$D$116^2))*(1+((2/3.1416)*(LN($D$148/(2*$D$116))-0.673))*($D$148/$D$116)^2)</f>
        <v>1.6871347527699618E-2</v>
      </c>
      <c r="E167" s="49" t="s">
        <v>68</v>
      </c>
      <c r="K167" s="6"/>
    </row>
    <row r="168" spans="1:11" s="3" customFormat="1" ht="11.25" customHeight="1" x14ac:dyDescent="0.2">
      <c r="A168" s="29"/>
      <c r="K168" s="6"/>
    </row>
    <row r="169" spans="1:11" s="3" customFormat="1" ht="11.25" customHeight="1" x14ac:dyDescent="0.2">
      <c r="A169" s="29"/>
      <c r="K169" s="6"/>
    </row>
    <row r="170" spans="1:11" s="3" customFormat="1" ht="11.25" customHeight="1" x14ac:dyDescent="0.2">
      <c r="A170" s="52" t="s">
        <v>120</v>
      </c>
      <c r="K170" s="6"/>
    </row>
    <row r="171" spans="1:11" s="3" customFormat="1" ht="11.25" customHeight="1" x14ac:dyDescent="0.2">
      <c r="A171" s="52"/>
      <c r="K171" s="6"/>
    </row>
    <row r="172" spans="1:11" s="3" customFormat="1" ht="11.25" customHeight="1" x14ac:dyDescent="0.2">
      <c r="A172" s="52"/>
      <c r="K172" s="6"/>
    </row>
    <row r="173" spans="1:11" s="3" customFormat="1" ht="18" customHeight="1" x14ac:dyDescent="0.35">
      <c r="A173" s="29"/>
      <c r="C173" s="340" t="s">
        <v>121</v>
      </c>
      <c r="D173" s="355"/>
      <c r="E173" s="355"/>
      <c r="F173" s="341"/>
      <c r="G173" s="47" t="s">
        <v>122</v>
      </c>
      <c r="K173" s="6"/>
    </row>
    <row r="174" spans="1:11" s="3" customFormat="1" ht="11.25" customHeight="1" x14ac:dyDescent="0.2">
      <c r="A174" s="29"/>
      <c r="K174" s="6"/>
    </row>
    <row r="175" spans="1:11" s="3" customFormat="1" ht="18" customHeight="1" x14ac:dyDescent="0.35">
      <c r="A175" s="29"/>
      <c r="C175" s="337" t="s">
        <v>123</v>
      </c>
      <c r="D175" s="338"/>
      <c r="E175" s="338"/>
      <c r="F175" s="339"/>
      <c r="G175" s="55" t="s">
        <v>112</v>
      </c>
      <c r="K175" s="6"/>
    </row>
    <row r="176" spans="1:11" s="3" customFormat="1" ht="11.25" customHeight="1" x14ac:dyDescent="0.2">
      <c r="A176" s="29"/>
      <c r="K176" s="6"/>
    </row>
    <row r="177" spans="1:11" s="3" customFormat="1" ht="18" customHeight="1" x14ac:dyDescent="0.35">
      <c r="A177" s="29"/>
      <c r="C177" s="147" t="s">
        <v>124</v>
      </c>
      <c r="D177" s="106">
        <f>(0.572*$D$140/$E$36^2)*(4*LOG($D$116/$E$163)-0.359)</f>
        <v>274.05722551489077</v>
      </c>
      <c r="E177" s="93" t="s">
        <v>88</v>
      </c>
      <c r="K177" s="6"/>
    </row>
    <row r="178" spans="1:11" s="3" customFormat="1" ht="11.25" customHeight="1" x14ac:dyDescent="0.2">
      <c r="A178" s="29"/>
      <c r="C178" s="33"/>
      <c r="D178" s="96"/>
      <c r="E178" s="4"/>
      <c r="K178" s="6"/>
    </row>
    <row r="179" spans="1:11" s="3" customFormat="1" ht="18" customHeight="1" x14ac:dyDescent="0.35">
      <c r="A179" s="29"/>
      <c r="C179" s="147" t="s">
        <v>125</v>
      </c>
      <c r="D179" s="108">
        <f>(0.431*$D$140/($D$115*$D$116^2))*(1-(0.82*($D$148/($D$116))))</f>
        <v>5.0903881155234317E-2</v>
      </c>
      <c r="E179" s="49" t="s">
        <v>68</v>
      </c>
      <c r="K179" s="6"/>
    </row>
    <row r="180" spans="1:11" s="3" customFormat="1" ht="11.25" customHeight="1" x14ac:dyDescent="0.2">
      <c r="A180" s="29"/>
      <c r="D180" s="116"/>
      <c r="K180" s="6"/>
    </row>
    <row r="181" spans="1:11" s="3" customFormat="1" ht="11.25" customHeight="1" x14ac:dyDescent="0.2">
      <c r="A181" s="113"/>
      <c r="B181" s="114"/>
      <c r="C181" s="114"/>
      <c r="D181" s="192"/>
      <c r="E181" s="114"/>
      <c r="F181" s="114"/>
      <c r="G181" s="114"/>
      <c r="H181" s="114"/>
      <c r="I181" s="114"/>
      <c r="J181" s="114"/>
      <c r="K181" s="115"/>
    </row>
    <row r="182" spans="1:11" s="3" customFormat="1" ht="11.25" customHeight="1" x14ac:dyDescent="0.2">
      <c r="A182" s="155" t="s">
        <v>126</v>
      </c>
      <c r="B182" s="156"/>
      <c r="C182" s="156"/>
      <c r="D182" s="156"/>
      <c r="E182" s="156"/>
      <c r="F182" s="156"/>
      <c r="G182" s="156"/>
      <c r="H182" s="156"/>
      <c r="I182" s="156"/>
      <c r="J182" s="156"/>
      <c r="K182" s="160"/>
    </row>
    <row r="183" spans="1:11" s="3" customFormat="1" ht="11.25" customHeight="1" x14ac:dyDescent="0.2">
      <c r="A183" s="28"/>
      <c r="K183" s="6"/>
    </row>
    <row r="184" spans="1:11" s="3" customFormat="1" ht="11.25" customHeight="1" x14ac:dyDescent="0.2">
      <c r="A184" s="28"/>
      <c r="K184" s="6"/>
    </row>
    <row r="185" spans="1:11" s="3" customFormat="1" ht="21" customHeight="1" x14ac:dyDescent="0.35">
      <c r="A185" s="100"/>
      <c r="B185" s="109"/>
      <c r="C185" s="109"/>
      <c r="D185" s="340" t="s">
        <v>127</v>
      </c>
      <c r="E185" s="341"/>
      <c r="F185" s="51" t="s">
        <v>128</v>
      </c>
      <c r="I185" s="340" t="s">
        <v>129</v>
      </c>
      <c r="J185" s="341"/>
      <c r="K185" s="185" t="s">
        <v>130</v>
      </c>
    </row>
    <row r="186" spans="1:11" s="3" customFormat="1" ht="11.25" customHeight="1" x14ac:dyDescent="0.2">
      <c r="A186" s="100"/>
      <c r="B186" s="109"/>
      <c r="C186" s="109"/>
      <c r="K186" s="6"/>
    </row>
    <row r="187" spans="1:11" s="3" customFormat="1" ht="18" customHeight="1" x14ac:dyDescent="0.35">
      <c r="A187" s="100"/>
      <c r="B187" s="109"/>
      <c r="C187" s="109"/>
      <c r="D187" s="260" t="s">
        <v>131</v>
      </c>
      <c r="E187" s="84">
        <f>2400*0.0361273/1000</f>
        <v>8.6705520000000008E-2</v>
      </c>
      <c r="F187" s="47" t="s">
        <v>132</v>
      </c>
      <c r="I187" s="262" t="s">
        <v>133</v>
      </c>
      <c r="J187" s="170">
        <f>(E187*D113*E188*E189)/(2*E52)</f>
        <v>7.9796333467666952E-5</v>
      </c>
      <c r="K187" s="6" t="s">
        <v>134</v>
      </c>
    </row>
    <row r="188" spans="1:11" s="3" customFormat="1" ht="11.25" customHeight="1" x14ac:dyDescent="0.2">
      <c r="A188" s="100"/>
      <c r="B188" s="109"/>
      <c r="C188" s="109"/>
      <c r="D188" s="266" t="s">
        <v>135</v>
      </c>
      <c r="E188" s="84">
        <f>C36/12</f>
        <v>9.8425196850393704</v>
      </c>
      <c r="F188" s="4" t="s">
        <v>136</v>
      </c>
      <c r="K188" s="6"/>
    </row>
    <row r="189" spans="1:11" s="3" customFormat="1" ht="15" customHeight="1" x14ac:dyDescent="0.3">
      <c r="A189" s="100"/>
      <c r="B189" s="109"/>
      <c r="C189" s="109"/>
      <c r="D189" s="180" t="s">
        <v>137</v>
      </c>
      <c r="E189" s="122">
        <v>1.5</v>
      </c>
      <c r="F189" s="47" t="s">
        <v>138</v>
      </c>
      <c r="K189" s="6"/>
    </row>
    <row r="190" spans="1:11" s="3" customFormat="1" ht="18" customHeight="1" x14ac:dyDescent="0.35">
      <c r="A190" s="100"/>
      <c r="B190" s="109"/>
      <c r="C190" s="109"/>
      <c r="D190" s="147" t="s">
        <v>139</v>
      </c>
      <c r="E190" s="92">
        <f>$E$187*$E$188*$E$189/2</f>
        <v>0.64005059055118119</v>
      </c>
      <c r="F190" s="69" t="s">
        <v>88</v>
      </c>
      <c r="K190" s="6"/>
    </row>
    <row r="191" spans="1:11" s="3" customFormat="1" ht="11.25" customHeight="1" x14ac:dyDescent="0.25">
      <c r="A191" s="100"/>
      <c r="B191" s="109"/>
      <c r="C191" s="109"/>
      <c r="D191" s="181"/>
      <c r="E191" s="182"/>
      <c r="F191" s="69"/>
      <c r="K191" s="6"/>
    </row>
    <row r="192" spans="1:11" s="3" customFormat="1" ht="11.25" customHeight="1" x14ac:dyDescent="0.25">
      <c r="A192" s="100"/>
      <c r="B192" s="109"/>
      <c r="C192" s="109"/>
      <c r="D192" s="181"/>
      <c r="E192" s="182"/>
      <c r="F192" s="69"/>
      <c r="K192" s="6"/>
    </row>
    <row r="193" spans="1:11" s="3" customFormat="1" ht="11.25" customHeight="1" x14ac:dyDescent="0.2">
      <c r="A193" s="28" t="s">
        <v>140</v>
      </c>
      <c r="K193" s="6"/>
    </row>
    <row r="194" spans="1:11" s="3" customFormat="1" ht="11.25" customHeight="1" x14ac:dyDescent="0.2">
      <c r="A194" s="28"/>
      <c r="K194" s="6"/>
    </row>
    <row r="195" spans="1:11" s="3" customFormat="1" ht="11.25" customHeight="1" x14ac:dyDescent="0.2">
      <c r="A195" s="29"/>
      <c r="K195" s="6"/>
    </row>
    <row r="196" spans="1:11" s="3" customFormat="1" ht="56.25" customHeight="1" x14ac:dyDescent="0.2">
      <c r="A196" s="29"/>
      <c r="B196" s="344" t="s">
        <v>141</v>
      </c>
      <c r="C196" s="344"/>
      <c r="D196" s="259" t="s">
        <v>142</v>
      </c>
      <c r="E196" s="259" t="s">
        <v>143</v>
      </c>
      <c r="F196" s="259" t="s">
        <v>144</v>
      </c>
      <c r="G196" s="167"/>
      <c r="K196" s="6"/>
    </row>
    <row r="197" spans="1:11" s="3" customFormat="1" ht="13.5" customHeight="1" x14ac:dyDescent="0.2">
      <c r="A197" s="29"/>
      <c r="B197" s="354" t="s">
        <v>145</v>
      </c>
      <c r="C197" s="354"/>
      <c r="D197" s="149">
        <f>$E$123</f>
        <v>436.52379434923569</v>
      </c>
      <c r="E197" s="334">
        <v>595</v>
      </c>
      <c r="F197" s="149">
        <f>($D$197/$E$197)*100</f>
        <v>73.365343588106839</v>
      </c>
      <c r="G197" s="5"/>
      <c r="K197" s="6"/>
    </row>
    <row r="198" spans="1:11" s="3" customFormat="1" ht="13.5" customHeight="1" x14ac:dyDescent="0.2">
      <c r="A198" s="29"/>
      <c r="B198" s="354" t="s">
        <v>146</v>
      </c>
      <c r="C198" s="354"/>
      <c r="D198" s="149">
        <f>$E$125</f>
        <v>436.52379434923569</v>
      </c>
      <c r="E198" s="360"/>
      <c r="F198" s="149">
        <f>($D$198/$E$197)*100</f>
        <v>73.365343588106839</v>
      </c>
      <c r="G198" s="5"/>
      <c r="K198" s="6"/>
    </row>
    <row r="199" spans="1:11" s="3" customFormat="1" ht="13.5" customHeight="1" x14ac:dyDescent="0.2">
      <c r="A199" s="29"/>
      <c r="B199" s="354" t="s">
        <v>147</v>
      </c>
      <c r="C199" s="354"/>
      <c r="D199" s="149">
        <f>$E$127</f>
        <v>371.04522519685042</v>
      </c>
      <c r="E199" s="360"/>
      <c r="F199" s="149">
        <f>($D$199/$E$197)*100</f>
        <v>62.360542049890832</v>
      </c>
      <c r="G199" s="5"/>
      <c r="K199" s="6"/>
    </row>
    <row r="200" spans="1:11" s="3" customFormat="1" ht="13.5" customHeight="1" x14ac:dyDescent="0.2">
      <c r="A200" s="29"/>
      <c r="B200" s="354" t="s">
        <v>148</v>
      </c>
      <c r="C200" s="354"/>
      <c r="D200" s="149">
        <f>$E$129</f>
        <v>371.04522519685042</v>
      </c>
      <c r="E200" s="361"/>
      <c r="F200" s="149">
        <f>($D$200/$E$197)*100</f>
        <v>62.360542049890832</v>
      </c>
      <c r="G200" s="5"/>
      <c r="K200" s="6"/>
    </row>
    <row r="201" spans="1:11" s="3" customFormat="1" ht="11.25" customHeight="1" x14ac:dyDescent="0.2">
      <c r="A201" s="29"/>
      <c r="K201" s="6"/>
    </row>
    <row r="202" spans="1:11" s="3" customFormat="1" ht="49.5" customHeight="1" x14ac:dyDescent="0.2">
      <c r="A202" s="29"/>
      <c r="B202" s="107"/>
      <c r="C202" s="259" t="s">
        <v>141</v>
      </c>
      <c r="D202" s="259" t="s">
        <v>149</v>
      </c>
      <c r="E202" s="259" t="s">
        <v>143</v>
      </c>
      <c r="F202" s="259" t="s">
        <v>144</v>
      </c>
      <c r="G202" s="167"/>
      <c r="H202" s="117"/>
      <c r="K202" s="6"/>
    </row>
    <row r="203" spans="1:11" s="3" customFormat="1" ht="11.25" customHeight="1" x14ac:dyDescent="0.2">
      <c r="A203" s="29"/>
      <c r="C203" s="150" t="s">
        <v>150</v>
      </c>
      <c r="D203" s="149">
        <f>$D$150</f>
        <v>338.40095676076663</v>
      </c>
      <c r="E203" s="334">
        <v>595</v>
      </c>
      <c r="F203" s="149">
        <f>($D$203/$E$203)*100</f>
        <v>56.874110379960776</v>
      </c>
      <c r="G203" s="168"/>
      <c r="K203" s="6"/>
    </row>
    <row r="204" spans="1:11" s="3" customFormat="1" ht="11.25" customHeight="1" x14ac:dyDescent="0.2">
      <c r="A204" s="29"/>
      <c r="C204" s="150" t="s">
        <v>151</v>
      </c>
      <c r="D204" s="149">
        <f>$D$165</f>
        <v>347.00582402134864</v>
      </c>
      <c r="E204" s="335"/>
      <c r="F204" s="149">
        <f>($D$204/$E$203)*100</f>
        <v>58.320306558209857</v>
      </c>
      <c r="G204" s="168"/>
      <c r="K204" s="6"/>
    </row>
    <row r="205" spans="1:11" s="3" customFormat="1" ht="11.25" customHeight="1" x14ac:dyDescent="0.2">
      <c r="A205" s="29"/>
      <c r="C205" s="150" t="s">
        <v>152</v>
      </c>
      <c r="D205" s="149">
        <f>$D$177</f>
        <v>274.05722551489077</v>
      </c>
      <c r="E205" s="336"/>
      <c r="F205" s="149">
        <f>($D$205/$E$203)*100</f>
        <v>46.060037901662312</v>
      </c>
      <c r="G205" s="168"/>
      <c r="K205" s="6"/>
    </row>
    <row r="206" spans="1:11" s="3" customFormat="1" ht="11.25" customHeight="1" x14ac:dyDescent="0.2">
      <c r="A206" s="29"/>
      <c r="K206" s="6"/>
    </row>
    <row r="207" spans="1:11" s="3" customFormat="1" ht="11.25" customHeight="1" x14ac:dyDescent="0.2">
      <c r="A207" s="29"/>
      <c r="K207" s="6"/>
    </row>
    <row r="208" spans="1:11" s="3" customFormat="1" ht="11.25" customHeight="1" x14ac:dyDescent="0.2">
      <c r="A208" s="28" t="s">
        <v>153</v>
      </c>
      <c r="K208" s="6"/>
    </row>
    <row r="209" spans="1:11" s="3" customFormat="1" ht="11.25" customHeight="1" x14ac:dyDescent="0.2">
      <c r="A209" s="28"/>
      <c r="K209" s="6"/>
    </row>
    <row r="210" spans="1:11" s="3" customFormat="1" ht="11.25" customHeight="1" x14ac:dyDescent="0.2">
      <c r="A210" s="29"/>
      <c r="K210" s="6"/>
    </row>
    <row r="211" spans="1:11" s="3" customFormat="1" ht="23.25" customHeight="1" x14ac:dyDescent="0.2">
      <c r="A211" s="29"/>
      <c r="B211" s="107"/>
      <c r="C211" s="152" t="s">
        <v>141</v>
      </c>
      <c r="D211" s="152" t="s">
        <v>154</v>
      </c>
      <c r="E211" s="152" t="s">
        <v>155</v>
      </c>
      <c r="F211" s="169"/>
      <c r="G211" s="118"/>
      <c r="H211" s="117"/>
      <c r="K211" s="6"/>
    </row>
    <row r="212" spans="1:11" s="3" customFormat="1" ht="11.25" customHeight="1" x14ac:dyDescent="0.2">
      <c r="A212" s="29"/>
      <c r="C212" s="265" t="s">
        <v>150</v>
      </c>
      <c r="D212" s="119">
        <f>$D$152</f>
        <v>0.10325326338710773</v>
      </c>
      <c r="E212" s="120">
        <f>$D$212*25.4</f>
        <v>2.6226328900325364</v>
      </c>
      <c r="F212" s="117"/>
      <c r="K212" s="6"/>
    </row>
    <row r="213" spans="1:11" s="3" customFormat="1" ht="11.25" customHeight="1" x14ac:dyDescent="0.2">
      <c r="A213" s="29"/>
      <c r="C213" s="265" t="s">
        <v>151</v>
      </c>
      <c r="D213" s="119">
        <f>$D$167</f>
        <v>1.6871347527699618E-2</v>
      </c>
      <c r="E213" s="120">
        <f>$D$213*25.4</f>
        <v>0.42853222720357026</v>
      </c>
      <c r="F213" s="117"/>
      <c r="K213" s="6"/>
    </row>
    <row r="214" spans="1:11" s="3" customFormat="1" ht="11.25" customHeight="1" x14ac:dyDescent="0.2">
      <c r="A214" s="29"/>
      <c r="C214" s="265" t="s">
        <v>152</v>
      </c>
      <c r="D214" s="119">
        <f>$D$179</f>
        <v>5.0903881155234317E-2</v>
      </c>
      <c r="E214" s="120">
        <f>$D$214*25.4</f>
        <v>1.2929585813429516</v>
      </c>
      <c r="F214" s="117"/>
      <c r="K214" s="6"/>
    </row>
    <row r="215" spans="1:11" s="3" customFormat="1" ht="11.25" customHeight="1" x14ac:dyDescent="0.2">
      <c r="A215" s="29"/>
      <c r="K215" s="6"/>
    </row>
    <row r="216" spans="1:11" s="3" customFormat="1" ht="11.25" customHeight="1" x14ac:dyDescent="0.2">
      <c r="A216" s="29"/>
      <c r="K216" s="6"/>
    </row>
    <row r="217" spans="1:11" s="3" customFormat="1" ht="11.25" customHeight="1" x14ac:dyDescent="0.2">
      <c r="A217" s="29"/>
      <c r="K217" s="6"/>
    </row>
    <row r="218" spans="1:11" s="3" customFormat="1" ht="11.25" customHeight="1" x14ac:dyDescent="0.2">
      <c r="A218" s="29"/>
      <c r="K218" s="6"/>
    </row>
    <row r="219" spans="1:11" s="3" customFormat="1" ht="11.25" customHeight="1" x14ac:dyDescent="0.2">
      <c r="A219" s="29"/>
      <c r="K219" s="6"/>
    </row>
    <row r="220" spans="1:11" s="3" customFormat="1" ht="11.25" customHeight="1" x14ac:dyDescent="0.2">
      <c r="A220" s="113"/>
      <c r="B220" s="114"/>
      <c r="C220" s="114"/>
      <c r="D220" s="114"/>
      <c r="E220" s="114"/>
      <c r="F220" s="114"/>
      <c r="G220" s="114"/>
      <c r="H220" s="114"/>
      <c r="I220" s="114"/>
      <c r="J220" s="114"/>
      <c r="K220" s="115"/>
    </row>
  </sheetData>
  <mergeCells count="47">
    <mergeCell ref="E203:E205"/>
    <mergeCell ref="C175:F175"/>
    <mergeCell ref="D185:E185"/>
    <mergeCell ref="I185:J185"/>
    <mergeCell ref="B196:C196"/>
    <mergeCell ref="B197:C197"/>
    <mergeCell ref="E197:E200"/>
    <mergeCell ref="B198:C198"/>
    <mergeCell ref="B199:C199"/>
    <mergeCell ref="B200:C200"/>
    <mergeCell ref="C173:F173"/>
    <mergeCell ref="D119:E119"/>
    <mergeCell ref="I120:K120"/>
    <mergeCell ref="I121:K121"/>
    <mergeCell ref="B135:E135"/>
    <mergeCell ref="B137:E137"/>
    <mergeCell ref="D139:H139"/>
    <mergeCell ref="E140:I140"/>
    <mergeCell ref="C146:F146"/>
    <mergeCell ref="C158:F158"/>
    <mergeCell ref="C160:F160"/>
    <mergeCell ref="B163:D163"/>
    <mergeCell ref="J72:K72"/>
    <mergeCell ref="B103:E103"/>
    <mergeCell ref="B105:E105"/>
    <mergeCell ref="B107:D107"/>
    <mergeCell ref="A109:B109"/>
    <mergeCell ref="C109:E109"/>
    <mergeCell ref="A54:B54"/>
    <mergeCell ref="A57:C57"/>
    <mergeCell ref="D57:E57"/>
    <mergeCell ref="A58:C58"/>
    <mergeCell ref="A59:C59"/>
    <mergeCell ref="D59:G59"/>
    <mergeCell ref="C21:D21"/>
    <mergeCell ref="I21:K21"/>
    <mergeCell ref="A1:K1"/>
    <mergeCell ref="D9:E9"/>
    <mergeCell ref="D10:E10"/>
    <mergeCell ref="D11:E11"/>
    <mergeCell ref="D12:E12"/>
    <mergeCell ref="D13:E13"/>
    <mergeCell ref="C19:D19"/>
    <mergeCell ref="G19:H19"/>
    <mergeCell ref="J19:J20"/>
    <mergeCell ref="C20:D20"/>
    <mergeCell ref="G20:H20"/>
  </mergeCells>
  <pageMargins left="0.39370078740157483" right="0.39370078740157483" top="0.39370078740157483" bottom="0.39370078740157483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DE23B-8411-4682-BA99-39D26D031C92}">
  <dimension ref="A1:AD135"/>
  <sheetViews>
    <sheetView topLeftCell="V1" zoomScale="86" zoomScaleNormal="86" workbookViewId="0">
      <selection activeCell="W1" sqref="W1:AD20"/>
    </sheetView>
  </sheetViews>
  <sheetFormatPr baseColWidth="10" defaultColWidth="8.85546875" defaultRowHeight="15" x14ac:dyDescent="0.25"/>
  <cols>
    <col min="1" max="1" width="16.5703125" customWidth="1"/>
    <col min="2" max="2" width="16" customWidth="1"/>
    <col min="3" max="3" width="28.85546875" customWidth="1"/>
    <col min="4" max="4" width="18.28515625" customWidth="1"/>
    <col min="5" max="5" width="19.85546875" customWidth="1"/>
    <col min="6" max="6" width="12.5703125" customWidth="1"/>
    <col min="7" max="7" width="29.7109375" customWidth="1"/>
    <col min="8" max="8" width="12.7109375" customWidth="1"/>
    <col min="9" max="9" width="13.85546875" customWidth="1"/>
    <col min="10" max="10" width="11.7109375" customWidth="1"/>
    <col min="11" max="11" width="12.5703125" customWidth="1"/>
    <col min="12" max="12" width="3.28515625" customWidth="1"/>
    <col min="13" max="13" width="2.5703125" customWidth="1"/>
    <col min="14" max="14" width="17.7109375" customWidth="1"/>
    <col min="15" max="15" width="15.42578125" customWidth="1"/>
    <col min="16" max="16" width="16.140625" customWidth="1"/>
    <col min="17" max="17" width="18.28515625" customWidth="1"/>
    <col min="18" max="18" width="11.42578125" customWidth="1"/>
    <col min="19" max="19" width="19" customWidth="1"/>
    <col min="20" max="20" width="16.7109375" customWidth="1"/>
    <col min="21" max="21" width="11.42578125" customWidth="1"/>
    <col min="22" max="22" width="28.28515625" customWidth="1"/>
    <col min="23" max="23" width="21.140625" customWidth="1"/>
    <col min="24" max="24" width="21" customWidth="1"/>
    <col min="25" max="25" width="43" customWidth="1"/>
    <col min="26" max="27" width="11.42578125" customWidth="1"/>
    <col min="28" max="28" width="18.7109375" customWidth="1"/>
    <col min="29" max="29" width="11.42578125" customWidth="1"/>
    <col min="30" max="30" width="16.5703125" customWidth="1"/>
    <col min="31" max="263" width="11.42578125" customWidth="1"/>
  </cols>
  <sheetData>
    <row r="1" spans="1:30" ht="16.149999999999999" customHeight="1" x14ac:dyDescent="0.25">
      <c r="A1" s="364" t="s">
        <v>182</v>
      </c>
      <c r="B1" s="364"/>
      <c r="C1" s="364"/>
      <c r="D1" s="291"/>
      <c r="E1" s="291"/>
      <c r="F1" s="291"/>
      <c r="G1" s="291"/>
      <c r="H1" s="291"/>
      <c r="I1" s="291"/>
      <c r="J1" s="291"/>
      <c r="K1" s="291"/>
      <c r="N1" s="230"/>
      <c r="O1" s="231" t="s">
        <v>163</v>
      </c>
      <c r="P1" s="231" t="s">
        <v>237</v>
      </c>
      <c r="Q1" s="231" t="s">
        <v>164</v>
      </c>
      <c r="R1" s="231" t="s">
        <v>165</v>
      </c>
      <c r="S1" s="231" t="s">
        <v>166</v>
      </c>
      <c r="T1" s="231" t="s">
        <v>167</v>
      </c>
      <c r="U1" s="231" t="s">
        <v>168</v>
      </c>
      <c r="V1" s="231" t="s">
        <v>169</v>
      </c>
      <c r="W1" s="231" t="s">
        <v>170</v>
      </c>
      <c r="X1" s="231" t="s">
        <v>171</v>
      </c>
      <c r="Y1" s="231" t="s">
        <v>172</v>
      </c>
      <c r="Z1" s="231" t="s">
        <v>173</v>
      </c>
      <c r="AA1" s="231" t="s">
        <v>174</v>
      </c>
      <c r="AB1" s="231" t="s">
        <v>175</v>
      </c>
      <c r="AC1" s="231" t="s">
        <v>176</v>
      </c>
      <c r="AD1" s="231" t="s">
        <v>177</v>
      </c>
    </row>
    <row r="2" spans="1:30" ht="18" x14ac:dyDescent="0.25">
      <c r="D2" s="366"/>
      <c r="E2" s="366"/>
      <c r="F2" s="366"/>
      <c r="G2" s="366"/>
      <c r="H2" s="366"/>
      <c r="I2" s="366"/>
      <c r="J2" s="366"/>
      <c r="K2" s="366"/>
      <c r="N2" s="231" t="s">
        <v>178</v>
      </c>
      <c r="O2" s="276">
        <f>+C5</f>
        <v>807672</v>
      </c>
      <c r="P2" s="375">
        <f>+E47</f>
        <v>428.71627827658472</v>
      </c>
      <c r="Q2" s="231">
        <f>+O2*P2</f>
        <v>346262133.90820575</v>
      </c>
      <c r="R2" s="232">
        <v>30</v>
      </c>
      <c r="S2" s="232">
        <v>2.15</v>
      </c>
      <c r="T2" s="233">
        <v>-6.25E-2</v>
      </c>
      <c r="U2" s="232">
        <v>1</v>
      </c>
      <c r="V2" s="377">
        <f>10^(-(X2)*T2*Y2)</f>
        <v>0.83732512334918852</v>
      </c>
      <c r="W2" s="234">
        <v>0.12</v>
      </c>
      <c r="X2" s="232">
        <v>-1.175</v>
      </c>
      <c r="Y2" s="377">
        <f>+(U2^2+(AA2^2/T2^2)*Z2^2)^0.5</f>
        <v>1.049952379872535</v>
      </c>
      <c r="Z2" s="232">
        <v>1</v>
      </c>
      <c r="AA2" s="232">
        <v>0.02</v>
      </c>
      <c r="AB2" s="377">
        <f>1/1.47</f>
        <v>0.68027210884353739</v>
      </c>
      <c r="AC2" s="232">
        <v>1.5</v>
      </c>
      <c r="AD2" s="382">
        <f>+S2*(Q2/1000000)^(T2)*V2*AB2*AC2</f>
        <v>1.2746580520100435</v>
      </c>
    </row>
    <row r="3" spans="1:30" ht="18" hidden="1" x14ac:dyDescent="0.25">
      <c r="D3" s="367"/>
      <c r="E3" s="367"/>
      <c r="F3" s="367"/>
      <c r="G3" s="367"/>
      <c r="H3" s="367"/>
      <c r="I3" s="367"/>
      <c r="J3" s="368"/>
      <c r="K3" s="368"/>
      <c r="N3" s="231"/>
      <c r="O3" s="232"/>
      <c r="P3" s="232"/>
      <c r="Q3" s="231"/>
      <c r="R3" s="232"/>
      <c r="S3" s="232"/>
      <c r="T3" s="232"/>
      <c r="U3" s="232"/>
      <c r="V3" s="377"/>
      <c r="W3" s="232"/>
      <c r="X3" s="232"/>
      <c r="Y3" s="377"/>
      <c r="Z3" s="232"/>
      <c r="AA3" s="232"/>
      <c r="AB3" s="377"/>
      <c r="AC3" s="232"/>
      <c r="AD3" s="377"/>
    </row>
    <row r="4" spans="1:30" ht="18" hidden="1" x14ac:dyDescent="0.25">
      <c r="C4" s="281" t="s">
        <v>238</v>
      </c>
      <c r="D4" s="292"/>
      <c r="E4" s="282"/>
      <c r="F4" s="282"/>
      <c r="G4" s="282"/>
      <c r="H4" s="282"/>
      <c r="I4" s="282"/>
      <c r="J4" s="283"/>
      <c r="K4" s="283"/>
      <c r="N4" s="231"/>
      <c r="O4" s="232"/>
      <c r="P4" s="232"/>
      <c r="Q4" s="231"/>
      <c r="R4" s="232"/>
      <c r="S4" s="232"/>
      <c r="T4" s="232"/>
      <c r="U4" s="232"/>
      <c r="V4" s="377"/>
      <c r="W4" s="232"/>
      <c r="X4" s="232"/>
      <c r="Y4" s="377"/>
      <c r="Z4" s="232"/>
      <c r="AA4" s="232"/>
      <c r="AB4" s="377"/>
      <c r="AC4" s="232"/>
      <c r="AD4" s="377"/>
    </row>
    <row r="5" spans="1:30" ht="18" hidden="1" x14ac:dyDescent="0.25">
      <c r="A5" t="s">
        <v>183</v>
      </c>
      <c r="C5" s="249">
        <v>807672</v>
      </c>
      <c r="D5" s="284"/>
      <c r="E5" s="284"/>
      <c r="F5" s="284"/>
      <c r="G5" s="284"/>
      <c r="H5" s="284"/>
      <c r="I5" s="284"/>
      <c r="J5" s="274"/>
      <c r="K5" s="285"/>
      <c r="N5" s="231"/>
      <c r="O5" s="232"/>
      <c r="P5" s="232"/>
      <c r="Q5" s="231"/>
      <c r="R5" s="232"/>
      <c r="S5" s="232"/>
      <c r="T5" s="232"/>
      <c r="U5" s="232"/>
      <c r="V5" s="377"/>
      <c r="W5" s="232"/>
      <c r="X5" s="232"/>
      <c r="Y5" s="377"/>
      <c r="Z5" s="232"/>
      <c r="AA5" s="232"/>
      <c r="AB5" s="377"/>
      <c r="AC5" s="232"/>
      <c r="AD5" s="377"/>
    </row>
    <row r="6" spans="1:30" ht="18" hidden="1" x14ac:dyDescent="0.25">
      <c r="A6" t="s">
        <v>184</v>
      </c>
      <c r="C6" s="249">
        <v>781301</v>
      </c>
      <c r="D6" s="284"/>
      <c r="E6" s="284"/>
      <c r="F6" s="284"/>
      <c r="G6" s="284"/>
      <c r="H6" s="284"/>
      <c r="I6" s="286"/>
      <c r="J6" s="274"/>
      <c r="K6" s="274"/>
      <c r="N6" s="231"/>
      <c r="O6" s="232"/>
      <c r="P6" s="232"/>
      <c r="Q6" s="231"/>
      <c r="R6" s="232"/>
      <c r="S6" s="232"/>
      <c r="T6" s="232"/>
      <c r="U6" s="232"/>
      <c r="V6" s="377"/>
      <c r="W6" s="232"/>
      <c r="X6" s="232"/>
      <c r="Y6" s="377"/>
      <c r="Z6" s="232"/>
      <c r="AA6" s="232"/>
      <c r="AB6" s="377"/>
      <c r="AC6" s="232"/>
      <c r="AD6" s="377"/>
    </row>
    <row r="7" spans="1:30" ht="18" hidden="1" x14ac:dyDescent="0.25">
      <c r="A7" t="s">
        <v>185</v>
      </c>
      <c r="C7" s="249">
        <v>406456</v>
      </c>
      <c r="D7" s="284"/>
      <c r="E7" s="284"/>
      <c r="F7" s="284"/>
      <c r="G7" s="284"/>
      <c r="H7" s="284"/>
      <c r="I7" s="284"/>
      <c r="J7" s="274"/>
      <c r="K7" s="274"/>
      <c r="N7" s="231"/>
      <c r="O7" s="232"/>
      <c r="P7" s="232"/>
      <c r="Q7" s="231"/>
      <c r="R7" s="232"/>
      <c r="S7" s="232"/>
      <c r="T7" s="232"/>
      <c r="U7" s="232"/>
      <c r="V7" s="377"/>
      <c r="W7" s="232"/>
      <c r="X7" s="232"/>
      <c r="Y7" s="377"/>
      <c r="Z7" s="232"/>
      <c r="AA7" s="232"/>
      <c r="AB7" s="377"/>
      <c r="AC7" s="232"/>
      <c r="AD7" s="377"/>
    </row>
    <row r="8" spans="1:30" ht="18" x14ac:dyDescent="0.25">
      <c r="A8" t="s">
        <v>186</v>
      </c>
      <c r="C8" s="249">
        <v>385613</v>
      </c>
      <c r="D8" s="284"/>
      <c r="E8" s="284"/>
      <c r="F8" s="284"/>
      <c r="G8" s="284"/>
      <c r="H8" s="284"/>
      <c r="I8" s="284"/>
      <c r="J8" s="274"/>
      <c r="K8" s="274"/>
      <c r="N8" s="235" t="s">
        <v>179</v>
      </c>
      <c r="O8" s="277">
        <f>+C6</f>
        <v>781301</v>
      </c>
      <c r="P8" s="373">
        <f ca="1">+E77</f>
        <v>0</v>
      </c>
      <c r="Q8" s="235">
        <f ca="1">+O8*P8</f>
        <v>312520.40000000002</v>
      </c>
      <c r="R8" s="236">
        <v>30</v>
      </c>
      <c r="S8" s="236">
        <v>2.15</v>
      </c>
      <c r="T8" s="237">
        <v>-6.25E-2</v>
      </c>
      <c r="U8" s="236">
        <v>1</v>
      </c>
      <c r="V8" s="378">
        <f>10^(-(X8)*T8*Y8)</f>
        <v>0.83732512334918852</v>
      </c>
      <c r="W8" s="238">
        <v>0.12</v>
      </c>
      <c r="X8" s="236">
        <v>-1.175</v>
      </c>
      <c r="Y8" s="378">
        <f>+(U8^2+(AA8^2/T8^2)*Z8^2)^0.5</f>
        <v>1.049952379872535</v>
      </c>
      <c r="Z8" s="236">
        <v>1</v>
      </c>
      <c r="AA8" s="236">
        <v>0.02</v>
      </c>
      <c r="AB8" s="378">
        <f>1/1.47</f>
        <v>0.68027210884353739</v>
      </c>
      <c r="AC8" s="236">
        <v>1.5</v>
      </c>
      <c r="AD8" s="383">
        <f ca="1">+S8*(Q8/1000000)^(T8)*V8*AB8*AC8</f>
        <v>1.9754980626403613</v>
      </c>
    </row>
    <row r="9" spans="1:30" ht="18" hidden="1" x14ac:dyDescent="0.25">
      <c r="B9" s="255"/>
      <c r="C9" s="253"/>
      <c r="D9" s="287"/>
      <c r="E9" s="287"/>
      <c r="F9" s="287"/>
      <c r="G9" s="287"/>
      <c r="H9" s="287"/>
      <c r="I9" s="287"/>
      <c r="J9" s="287"/>
      <c r="K9" s="287"/>
      <c r="N9" s="235"/>
      <c r="O9" s="236"/>
      <c r="P9" s="236"/>
      <c r="Q9" s="235"/>
      <c r="R9" s="236"/>
      <c r="S9" s="236"/>
      <c r="T9" s="236"/>
      <c r="U9" s="236"/>
      <c r="V9" s="378"/>
      <c r="W9" s="236"/>
      <c r="X9" s="236"/>
      <c r="Y9" s="378"/>
      <c r="Z9" s="236"/>
      <c r="AA9" s="236"/>
      <c r="AB9" s="378"/>
      <c r="AC9" s="236"/>
      <c r="AD9" s="378"/>
    </row>
    <row r="10" spans="1:30" ht="18" hidden="1" x14ac:dyDescent="0.25">
      <c r="C10" s="252"/>
      <c r="D10" s="288"/>
      <c r="E10" s="288"/>
      <c r="F10" s="288"/>
      <c r="G10" s="288"/>
      <c r="H10" s="288"/>
      <c r="I10" s="288"/>
      <c r="J10" s="288"/>
      <c r="K10" s="288"/>
      <c r="N10" s="235"/>
      <c r="O10" s="236"/>
      <c r="P10" s="236"/>
      <c r="Q10" s="235"/>
      <c r="R10" s="236"/>
      <c r="S10" s="236"/>
      <c r="T10" s="236"/>
      <c r="U10" s="236"/>
      <c r="V10" s="378"/>
      <c r="W10" s="236"/>
      <c r="X10" s="236"/>
      <c r="Y10" s="378"/>
      <c r="Z10" s="236"/>
      <c r="AA10" s="236"/>
      <c r="AB10" s="378"/>
      <c r="AC10" s="236"/>
      <c r="AD10" s="378"/>
    </row>
    <row r="11" spans="1:30" ht="18" hidden="1" x14ac:dyDescent="0.25">
      <c r="D11" s="289"/>
      <c r="E11" s="288"/>
      <c r="F11" s="288"/>
      <c r="G11" s="288"/>
      <c r="H11" s="288"/>
      <c r="I11" s="288"/>
      <c r="J11" s="288"/>
      <c r="K11" s="288"/>
      <c r="N11" s="235"/>
      <c r="O11" s="236"/>
      <c r="P11" s="236"/>
      <c r="Q11" s="235"/>
      <c r="R11" s="236"/>
      <c r="S11" s="236"/>
      <c r="T11" s="236"/>
      <c r="U11" s="236"/>
      <c r="V11" s="378"/>
      <c r="W11" s="236"/>
      <c r="X11" s="236"/>
      <c r="Y11" s="378"/>
      <c r="Z11" s="236"/>
      <c r="AA11" s="236"/>
      <c r="AB11" s="378"/>
      <c r="AC11" s="236"/>
      <c r="AD11" s="378"/>
    </row>
    <row r="12" spans="1:30" ht="18" hidden="1" x14ac:dyDescent="0.25">
      <c r="N12" s="239"/>
      <c r="O12" s="240"/>
      <c r="P12" s="240"/>
      <c r="Q12" s="239"/>
      <c r="R12" s="240"/>
      <c r="S12" s="240"/>
      <c r="T12" s="240"/>
      <c r="U12" s="240"/>
      <c r="V12" s="379"/>
      <c r="W12" s="240"/>
      <c r="X12" s="240"/>
      <c r="Y12" s="379"/>
      <c r="Z12" s="240"/>
      <c r="AA12" s="240"/>
      <c r="AB12" s="379"/>
      <c r="AC12" s="240"/>
      <c r="AD12" s="379"/>
    </row>
    <row r="13" spans="1:30" ht="18" hidden="1" x14ac:dyDescent="0.25">
      <c r="N13" s="239"/>
      <c r="O13" s="240"/>
      <c r="P13" s="240"/>
      <c r="Q13" s="239"/>
      <c r="R13" s="240"/>
      <c r="S13" s="240"/>
      <c r="T13" s="240"/>
      <c r="U13" s="240"/>
      <c r="V13" s="379"/>
      <c r="W13" s="240"/>
      <c r="X13" s="240"/>
      <c r="Y13" s="379"/>
      <c r="Z13" s="240"/>
      <c r="AA13" s="240"/>
      <c r="AB13" s="379"/>
      <c r="AC13" s="240"/>
      <c r="AD13" s="379"/>
    </row>
    <row r="14" spans="1:30" ht="18" x14ac:dyDescent="0.25">
      <c r="N14" s="241" t="s">
        <v>180</v>
      </c>
      <c r="O14" s="278">
        <f>+C7</f>
        <v>406456</v>
      </c>
      <c r="P14" s="300">
        <f>+E106</f>
        <v>102.32479209754004</v>
      </c>
      <c r="Q14" s="241">
        <f>+O14*P14</f>
        <v>41590525.696797736</v>
      </c>
      <c r="R14" s="242">
        <v>30</v>
      </c>
      <c r="S14" s="242">
        <v>2.15</v>
      </c>
      <c r="T14" s="243">
        <v>-6.25E-2</v>
      </c>
      <c r="U14" s="242">
        <v>1</v>
      </c>
      <c r="V14" s="380">
        <f>10^(-(X14)*T14*Y14)</f>
        <v>0.83732512334918852</v>
      </c>
      <c r="W14" s="244">
        <v>0.12</v>
      </c>
      <c r="X14" s="242">
        <v>-1.175</v>
      </c>
      <c r="Y14" s="380">
        <f>+(U14^2+(AA14^2/T14^2)*Z14^2)^0.5</f>
        <v>1.049952379872535</v>
      </c>
      <c r="Z14" s="242">
        <v>1</v>
      </c>
      <c r="AA14" s="242">
        <v>0.02</v>
      </c>
      <c r="AB14" s="380">
        <f>1/1.47</f>
        <v>0.68027210884353739</v>
      </c>
      <c r="AC14" s="242">
        <v>1.5</v>
      </c>
      <c r="AD14" s="384">
        <f>+S14*(Q14/1000000)^(T14)*V14*AB14*AC14</f>
        <v>1.4551888409932774</v>
      </c>
    </row>
    <row r="15" spans="1:30" ht="18" hidden="1" x14ac:dyDescent="0.25">
      <c r="N15" s="241"/>
      <c r="O15" s="242"/>
      <c r="P15" s="242"/>
      <c r="Q15" s="241"/>
      <c r="R15" s="242"/>
      <c r="S15" s="242"/>
      <c r="T15" s="242"/>
      <c r="U15" s="242"/>
      <c r="V15" s="380"/>
      <c r="W15" s="242"/>
      <c r="X15" s="242"/>
      <c r="Y15" s="380"/>
      <c r="Z15" s="242"/>
      <c r="AA15" s="242"/>
      <c r="AB15" s="380"/>
      <c r="AC15" s="242"/>
      <c r="AD15" s="380"/>
    </row>
    <row r="16" spans="1:30" ht="18" hidden="1" x14ac:dyDescent="0.25">
      <c r="N16" s="241"/>
      <c r="O16" s="242"/>
      <c r="P16" s="242"/>
      <c r="Q16" s="241"/>
      <c r="R16" s="242"/>
      <c r="S16" s="242"/>
      <c r="T16" s="242"/>
      <c r="U16" s="242"/>
      <c r="V16" s="380"/>
      <c r="W16" s="242"/>
      <c r="X16" s="242"/>
      <c r="Y16" s="380"/>
      <c r="Z16" s="242"/>
      <c r="AA16" s="242"/>
      <c r="AB16" s="380"/>
      <c r="AC16" s="242"/>
      <c r="AD16" s="380"/>
    </row>
    <row r="17" spans="1:30" ht="18" hidden="1" x14ac:dyDescent="0.25">
      <c r="N17" s="241"/>
      <c r="O17" s="242"/>
      <c r="P17" s="242"/>
      <c r="Q17" s="241"/>
      <c r="R17" s="242"/>
      <c r="S17" s="242"/>
      <c r="T17" s="242"/>
      <c r="U17" s="242"/>
      <c r="V17" s="380"/>
      <c r="W17" s="242"/>
      <c r="X17" s="242"/>
      <c r="Y17" s="380"/>
      <c r="Z17" s="242"/>
      <c r="AA17" s="242"/>
      <c r="AB17" s="380"/>
      <c r="AC17" s="242"/>
      <c r="AD17" s="380"/>
    </row>
    <row r="18" spans="1:30" ht="18" hidden="1" x14ac:dyDescent="0.25">
      <c r="N18" s="241"/>
      <c r="O18" s="242"/>
      <c r="P18" s="242"/>
      <c r="Q18" s="241"/>
      <c r="R18" s="242"/>
      <c r="S18" s="242"/>
      <c r="T18" s="242"/>
      <c r="U18" s="242"/>
      <c r="V18" s="380"/>
      <c r="W18" s="242"/>
      <c r="X18" s="242"/>
      <c r="Y18" s="380"/>
      <c r="Z18" s="242"/>
      <c r="AA18" s="242"/>
      <c r="AB18" s="380"/>
      <c r="AC18" s="242"/>
      <c r="AD18" s="380"/>
    </row>
    <row r="19" spans="1:30" ht="18" hidden="1" x14ac:dyDescent="0.25">
      <c r="N19" s="241"/>
      <c r="O19" s="242"/>
      <c r="P19" s="242"/>
      <c r="Q19" s="241"/>
      <c r="R19" s="242"/>
      <c r="S19" s="242"/>
      <c r="T19" s="242"/>
      <c r="U19" s="242"/>
      <c r="V19" s="380"/>
      <c r="W19" s="242"/>
      <c r="X19" s="242"/>
      <c r="Y19" s="380"/>
      <c r="Z19" s="242"/>
      <c r="AA19" s="242"/>
      <c r="AB19" s="380"/>
      <c r="AC19" s="242"/>
      <c r="AD19" s="380"/>
    </row>
    <row r="20" spans="1:30" ht="18" x14ac:dyDescent="0.25">
      <c r="A20" s="273" t="s">
        <v>183</v>
      </c>
      <c r="N20" s="245" t="s">
        <v>181</v>
      </c>
      <c r="O20" s="279">
        <f>+C8</f>
        <v>385613</v>
      </c>
      <c r="P20" s="301">
        <f>+E135</f>
        <v>95.220104641519455</v>
      </c>
      <c r="Q20" s="376">
        <f>+O20*P20</f>
        <v>36718110.211130239</v>
      </c>
      <c r="R20" s="246">
        <v>30</v>
      </c>
      <c r="S20" s="246">
        <v>2.15</v>
      </c>
      <c r="T20" s="247">
        <v>-6.25E-2</v>
      </c>
      <c r="U20" s="246">
        <v>1</v>
      </c>
      <c r="V20" s="381">
        <f>10^(-(X20)*T20*Y20)</f>
        <v>0.83732512334918852</v>
      </c>
      <c r="W20" s="248">
        <v>0.12</v>
      </c>
      <c r="X20" s="246">
        <v>-1.175</v>
      </c>
      <c r="Y20" s="381">
        <f>+(U20^2+(AA20^2/T20^2)*Z20^2)^0.5</f>
        <v>1.049952379872535</v>
      </c>
      <c r="Z20" s="246">
        <v>1</v>
      </c>
      <c r="AA20" s="246">
        <v>0.02</v>
      </c>
      <c r="AB20" s="381">
        <f>1/1.47</f>
        <v>0.68027210884353739</v>
      </c>
      <c r="AC20" s="246">
        <v>1.5</v>
      </c>
      <c r="AD20" s="385">
        <f>+S20*(Q20/1000000)^(T20)*V20*AB20*AC20</f>
        <v>1.4665655742094159</v>
      </c>
    </row>
    <row r="21" spans="1:30" x14ac:dyDescent="0.25">
      <c r="A21" s="365" t="s">
        <v>212</v>
      </c>
      <c r="B21" s="365"/>
      <c r="C21" s="365"/>
      <c r="D21" s="365"/>
      <c r="E21" s="365"/>
      <c r="G21" s="365" t="s">
        <v>215</v>
      </c>
      <c r="H21" s="365"/>
      <c r="I21" s="365"/>
    </row>
    <row r="22" spans="1:30" x14ac:dyDescent="0.25">
      <c r="A22" s="270" t="s">
        <v>187</v>
      </c>
      <c r="B22" s="270" t="s">
        <v>208</v>
      </c>
      <c r="C22" s="270" t="s">
        <v>209</v>
      </c>
      <c r="D22" s="270"/>
      <c r="E22" s="270"/>
      <c r="G22" s="270" t="s">
        <v>209</v>
      </c>
      <c r="H22" s="270"/>
      <c r="I22" s="270"/>
    </row>
    <row r="23" spans="1:30" x14ac:dyDescent="0.25">
      <c r="A23" s="270" t="s">
        <v>188</v>
      </c>
      <c r="B23" s="270" t="s">
        <v>188</v>
      </c>
      <c r="C23" s="270" t="s">
        <v>210</v>
      </c>
      <c r="D23" s="270" t="s">
        <v>213</v>
      </c>
      <c r="E23" s="270" t="s">
        <v>214</v>
      </c>
      <c r="G23" s="270" t="s">
        <v>216</v>
      </c>
      <c r="H23" s="270" t="s">
        <v>217</v>
      </c>
      <c r="I23" s="270" t="s">
        <v>218</v>
      </c>
    </row>
    <row r="24" spans="1:30" x14ac:dyDescent="0.25">
      <c r="A24" s="271" t="s">
        <v>189</v>
      </c>
      <c r="B24" s="272">
        <v>20</v>
      </c>
      <c r="C24" s="272">
        <f>1*(B24/130)^12</f>
        <v>1.7580843998409351E-10</v>
      </c>
      <c r="D24" s="272">
        <f>81*5+6*5</f>
        <v>435</v>
      </c>
      <c r="E24" s="272">
        <f>+C24*D24</f>
        <v>7.6476671393080676E-8</v>
      </c>
      <c r="G24" s="272">
        <f>12*(B24/130)^12</f>
        <v>2.1097012798091221E-9</v>
      </c>
      <c r="H24" s="272"/>
      <c r="I24" s="250">
        <f>+G24*H24</f>
        <v>0</v>
      </c>
    </row>
    <row r="25" spans="1:30" x14ac:dyDescent="0.25">
      <c r="A25" s="272" t="s">
        <v>190</v>
      </c>
      <c r="B25" s="272">
        <v>35</v>
      </c>
      <c r="C25" s="272">
        <f t="shared" ref="C25:C43" si="0">1*(B25/130)^12</f>
        <v>1.4504284323332356E-7</v>
      </c>
      <c r="D25" s="272">
        <f>6*5</f>
        <v>30</v>
      </c>
      <c r="E25" s="272">
        <f t="shared" ref="E25:E43" si="1">+C25*D25</f>
        <v>4.3512852969997066E-6</v>
      </c>
      <c r="G25" s="272">
        <f t="shared" ref="G25:G43" si="2">12*(B25/130)^12</f>
        <v>1.7405141187998827E-6</v>
      </c>
      <c r="H25" s="272"/>
      <c r="I25" s="250">
        <f>+G25*H25</f>
        <v>0</v>
      </c>
    </row>
    <row r="26" spans="1:30" x14ac:dyDescent="0.25">
      <c r="A26" s="272" t="s">
        <v>191</v>
      </c>
      <c r="B26" s="272">
        <v>45</v>
      </c>
      <c r="C26" s="272">
        <f t="shared" si="0"/>
        <v>2.9595790037009225E-6</v>
      </c>
      <c r="D26" s="272">
        <f>170+6*5</f>
        <v>200</v>
      </c>
      <c r="E26" s="272">
        <f t="shared" si="1"/>
        <v>5.9191580074018449E-4</v>
      </c>
      <c r="G26" s="272">
        <f t="shared" si="2"/>
        <v>3.5514948044411068E-5</v>
      </c>
      <c r="H26" s="250"/>
      <c r="I26" s="250">
        <f t="shared" ref="I26:I43" si="3">+G26*H26</f>
        <v>0</v>
      </c>
    </row>
    <row r="27" spans="1:30" x14ac:dyDescent="0.25">
      <c r="A27" s="272" t="s">
        <v>192</v>
      </c>
      <c r="B27" s="272">
        <v>55</v>
      </c>
      <c r="C27" s="272">
        <f t="shared" si="0"/>
        <v>3.2887589747496218E-5</v>
      </c>
      <c r="D27" s="272">
        <f>112*5</f>
        <v>560</v>
      </c>
      <c r="E27" s="272">
        <f t="shared" si="1"/>
        <v>1.8417050258597883E-2</v>
      </c>
      <c r="G27" s="272">
        <f t="shared" si="2"/>
        <v>3.9465107696995459E-4</v>
      </c>
      <c r="H27" s="250"/>
      <c r="I27" s="250">
        <f t="shared" si="3"/>
        <v>0</v>
      </c>
    </row>
    <row r="28" spans="1:30" x14ac:dyDescent="0.25">
      <c r="A28" s="272" t="s">
        <v>193</v>
      </c>
      <c r="B28" s="272">
        <v>65</v>
      </c>
      <c r="C28" s="272">
        <f>1*(B28/130)^12</f>
        <v>2.44140625E-4</v>
      </c>
      <c r="D28" s="272">
        <v>405</v>
      </c>
      <c r="E28" s="272">
        <f t="shared" si="1"/>
        <v>9.8876953125E-2</v>
      </c>
      <c r="G28" s="272">
        <f t="shared" si="2"/>
        <v>2.9296875E-3</v>
      </c>
      <c r="H28" s="272">
        <f>33*5</f>
        <v>165</v>
      </c>
      <c r="I28" s="250">
        <f t="shared" si="3"/>
        <v>0.4833984375</v>
      </c>
    </row>
    <row r="29" spans="1:30" x14ac:dyDescent="0.25">
      <c r="A29" s="272" t="s">
        <v>194</v>
      </c>
      <c r="B29" s="272">
        <v>75</v>
      </c>
      <c r="C29" s="272">
        <f t="shared" si="0"/>
        <v>1.3596118246436012E-3</v>
      </c>
      <c r="D29" s="272">
        <f>6*5</f>
        <v>30</v>
      </c>
      <c r="E29" s="272">
        <f t="shared" si="1"/>
        <v>4.0788354739308037E-2</v>
      </c>
      <c r="G29" s="272">
        <f t="shared" si="2"/>
        <v>1.6315341895723215E-2</v>
      </c>
      <c r="H29" s="250"/>
      <c r="I29" s="250">
        <f t="shared" si="3"/>
        <v>0</v>
      </c>
    </row>
    <row r="30" spans="1:30" x14ac:dyDescent="0.25">
      <c r="A30" s="272" t="s">
        <v>195</v>
      </c>
      <c r="B30" s="272">
        <v>85</v>
      </c>
      <c r="C30" s="272">
        <f t="shared" si="0"/>
        <v>6.1052981989030046E-3</v>
      </c>
      <c r="D30" s="272"/>
      <c r="E30" s="272">
        <f t="shared" si="1"/>
        <v>0</v>
      </c>
      <c r="G30" s="272">
        <f t="shared" si="2"/>
        <v>7.3263578386836059E-2</v>
      </c>
      <c r="H30" s="250"/>
      <c r="I30" s="250">
        <f t="shared" si="3"/>
        <v>0</v>
      </c>
    </row>
    <row r="31" spans="1:30" x14ac:dyDescent="0.25">
      <c r="A31" s="272" t="s">
        <v>196</v>
      </c>
      <c r="B31" s="272">
        <v>95</v>
      </c>
      <c r="C31" s="272">
        <f t="shared" si="0"/>
        <v>2.3193326182040046E-2</v>
      </c>
      <c r="D31" s="272"/>
      <c r="E31" s="272">
        <f t="shared" si="1"/>
        <v>0</v>
      </c>
      <c r="G31" s="272">
        <f t="shared" si="2"/>
        <v>0.27831991418448054</v>
      </c>
      <c r="H31" s="250"/>
      <c r="I31" s="250">
        <f t="shared" si="3"/>
        <v>0</v>
      </c>
    </row>
    <row r="32" spans="1:30" x14ac:dyDescent="0.25">
      <c r="A32" s="272" t="s">
        <v>197</v>
      </c>
      <c r="B32" s="272">
        <v>105</v>
      </c>
      <c r="C32" s="272">
        <f>1*(B32/130)^12</f>
        <v>7.7081713650760789E-2</v>
      </c>
      <c r="D32" s="272">
        <f>170+112*5</f>
        <v>730</v>
      </c>
      <c r="E32" s="272">
        <f t="shared" si="1"/>
        <v>56.269650965055376</v>
      </c>
      <c r="G32" s="272">
        <f t="shared" si="2"/>
        <v>0.92498056380912952</v>
      </c>
      <c r="H32" s="250"/>
      <c r="I32" s="250">
        <f t="shared" si="3"/>
        <v>0</v>
      </c>
    </row>
    <row r="33" spans="1:9" x14ac:dyDescent="0.25">
      <c r="A33" s="272" t="s">
        <v>198</v>
      </c>
      <c r="B33" s="272">
        <v>115</v>
      </c>
      <c r="C33" s="272">
        <f t="shared" si="0"/>
        <v>0.22964334095900002</v>
      </c>
      <c r="D33" s="272"/>
      <c r="E33" s="272">
        <f t="shared" si="1"/>
        <v>0</v>
      </c>
      <c r="G33" s="272">
        <f t="shared" si="2"/>
        <v>2.7557200915080005</v>
      </c>
      <c r="H33" s="250"/>
      <c r="I33" s="250">
        <f t="shared" si="3"/>
        <v>0</v>
      </c>
    </row>
    <row r="34" spans="1:9" x14ac:dyDescent="0.25">
      <c r="A34" s="272" t="s">
        <v>199</v>
      </c>
      <c r="B34" s="272">
        <v>125</v>
      </c>
      <c r="C34" s="272">
        <f t="shared" si="0"/>
        <v>0.62459704958006546</v>
      </c>
      <c r="D34" s="272"/>
      <c r="E34" s="272">
        <f t="shared" si="1"/>
        <v>0</v>
      </c>
      <c r="G34" s="272">
        <f t="shared" si="2"/>
        <v>7.4951645949607855</v>
      </c>
      <c r="H34" s="250"/>
      <c r="I34" s="250">
        <f t="shared" si="3"/>
        <v>0</v>
      </c>
    </row>
    <row r="35" spans="1:9" x14ac:dyDescent="0.25">
      <c r="A35" s="272" t="s">
        <v>200</v>
      </c>
      <c r="B35" s="272">
        <v>135</v>
      </c>
      <c r="C35" s="272">
        <f t="shared" si="0"/>
        <v>1.5728416253058253</v>
      </c>
      <c r="D35" s="272"/>
      <c r="E35" s="272">
        <f t="shared" si="1"/>
        <v>0</v>
      </c>
      <c r="G35" s="272">
        <f t="shared" si="2"/>
        <v>18.874099503669903</v>
      </c>
      <c r="H35" s="272"/>
      <c r="I35" s="250">
        <f t="shared" si="3"/>
        <v>0</v>
      </c>
    </row>
    <row r="36" spans="1:9" x14ac:dyDescent="0.25">
      <c r="A36" s="272" t="s">
        <v>201</v>
      </c>
      <c r="B36" s="272">
        <v>145</v>
      </c>
      <c r="C36" s="272">
        <f t="shared" si="0"/>
        <v>3.70762497655533</v>
      </c>
      <c r="D36" s="272"/>
      <c r="E36" s="272">
        <f t="shared" si="1"/>
        <v>0</v>
      </c>
      <c r="G36" s="272">
        <f t="shared" si="2"/>
        <v>44.49149971866396</v>
      </c>
      <c r="H36" s="272">
        <f>16*5</f>
        <v>80</v>
      </c>
      <c r="I36" s="250">
        <f t="shared" si="3"/>
        <v>3559.3199774931168</v>
      </c>
    </row>
    <row r="37" spans="1:9" x14ac:dyDescent="0.25">
      <c r="A37" s="272" t="s">
        <v>202</v>
      </c>
      <c r="B37" s="272">
        <v>155</v>
      </c>
      <c r="C37" s="272">
        <f t="shared" si="0"/>
        <v>8.2539180070992231</v>
      </c>
      <c r="D37" s="272"/>
      <c r="E37" s="272">
        <f t="shared" si="1"/>
        <v>0</v>
      </c>
      <c r="G37" s="272">
        <f t="shared" si="2"/>
        <v>99.047016085190677</v>
      </c>
      <c r="H37" s="272"/>
      <c r="I37" s="250">
        <f t="shared" si="3"/>
        <v>0</v>
      </c>
    </row>
    <row r="38" spans="1:9" x14ac:dyDescent="0.25">
      <c r="A38" s="272" t="s">
        <v>203</v>
      </c>
      <c r="B38" s="272">
        <v>165</v>
      </c>
      <c r="C38" s="272">
        <f t="shared" si="0"/>
        <v>17.477813582999133</v>
      </c>
      <c r="D38" s="272"/>
      <c r="E38" s="272">
        <f t="shared" si="1"/>
        <v>0</v>
      </c>
      <c r="G38" s="272">
        <f t="shared" si="2"/>
        <v>209.73376299598959</v>
      </c>
      <c r="H38" s="272"/>
      <c r="I38" s="250">
        <f t="shared" si="3"/>
        <v>0</v>
      </c>
    </row>
    <row r="39" spans="1:9" x14ac:dyDescent="0.25">
      <c r="A39" s="272" t="s">
        <v>204</v>
      </c>
      <c r="B39" s="272">
        <v>175</v>
      </c>
      <c r="C39" s="272">
        <f t="shared" si="0"/>
        <v>35.410850398760672</v>
      </c>
      <c r="D39" s="272"/>
      <c r="E39" s="272">
        <f t="shared" si="1"/>
        <v>0</v>
      </c>
      <c r="G39" s="272">
        <f t="shared" si="2"/>
        <v>424.93020478512807</v>
      </c>
      <c r="H39" s="272"/>
      <c r="I39" s="250">
        <f t="shared" si="3"/>
        <v>0</v>
      </c>
    </row>
    <row r="40" spans="1:9" x14ac:dyDescent="0.25">
      <c r="A40" s="272" t="s">
        <v>205</v>
      </c>
      <c r="B40" s="272">
        <v>185</v>
      </c>
      <c r="C40" s="272">
        <f t="shared" si="0"/>
        <v>68.982751526647561</v>
      </c>
      <c r="D40" s="272"/>
      <c r="E40" s="272">
        <f t="shared" si="1"/>
        <v>0</v>
      </c>
      <c r="G40" s="272">
        <f t="shared" si="2"/>
        <v>827.79301831977068</v>
      </c>
      <c r="H40" s="272"/>
      <c r="I40" s="250">
        <f t="shared" si="3"/>
        <v>0</v>
      </c>
    </row>
    <row r="41" spans="1:9" x14ac:dyDescent="0.25">
      <c r="A41" s="272" t="s">
        <v>206</v>
      </c>
      <c r="B41" s="272">
        <v>195</v>
      </c>
      <c r="C41" s="272">
        <f t="shared" si="0"/>
        <v>129.746337890625</v>
      </c>
      <c r="D41" s="272"/>
      <c r="E41" s="272">
        <f t="shared" si="1"/>
        <v>0</v>
      </c>
      <c r="G41" s="272">
        <f t="shared" si="2"/>
        <v>1556.9560546875</v>
      </c>
      <c r="H41" s="272"/>
      <c r="I41" s="250">
        <f t="shared" si="3"/>
        <v>0</v>
      </c>
    </row>
    <row r="42" spans="1:9" x14ac:dyDescent="0.25">
      <c r="A42" s="272" t="s">
        <v>207</v>
      </c>
      <c r="B42" s="272">
        <v>205</v>
      </c>
      <c r="C42" s="272">
        <f t="shared" si="0"/>
        <v>236.44280614278321</v>
      </c>
      <c r="D42" s="272"/>
      <c r="E42" s="272">
        <f t="shared" si="1"/>
        <v>0</v>
      </c>
      <c r="G42" s="272">
        <f t="shared" si="2"/>
        <v>2837.3136737133987</v>
      </c>
      <c r="H42" s="272"/>
      <c r="I42" s="250">
        <f t="shared" si="3"/>
        <v>0</v>
      </c>
    </row>
    <row r="43" spans="1:9" x14ac:dyDescent="0.25">
      <c r="A43" s="272" t="s">
        <v>211</v>
      </c>
      <c r="B43" s="272">
        <v>215</v>
      </c>
      <c r="C43" s="272">
        <f t="shared" si="0"/>
        <v>418.73695569080496</v>
      </c>
      <c r="D43" s="272"/>
      <c r="E43" s="272">
        <f t="shared" si="1"/>
        <v>0</v>
      </c>
      <c r="G43" s="272">
        <f t="shared" si="2"/>
        <v>5024.8434682896595</v>
      </c>
      <c r="H43" s="272">
        <f>165+80</f>
        <v>245</v>
      </c>
      <c r="I43" s="250">
        <f t="shared" si="3"/>
        <v>1231086.6497309667</v>
      </c>
    </row>
    <row r="44" spans="1:9" x14ac:dyDescent="0.25">
      <c r="A44" s="272"/>
      <c r="B44" s="272"/>
      <c r="C44" s="272"/>
      <c r="D44" s="272"/>
      <c r="E44" s="272"/>
      <c r="G44" s="250"/>
      <c r="H44" s="250"/>
      <c r="I44" s="250"/>
    </row>
    <row r="45" spans="1:9" x14ac:dyDescent="0.25">
      <c r="A45" s="250"/>
      <c r="B45" s="250"/>
      <c r="C45" s="250"/>
      <c r="D45" s="272">
        <f>SUM(D24:D43)</f>
        <v>2390</v>
      </c>
      <c r="E45" s="272">
        <f>SUM(E24:E43)</f>
        <v>56.428329666740993</v>
      </c>
      <c r="F45" s="252"/>
      <c r="G45" s="250"/>
      <c r="H45" s="272">
        <f>SUM(H24:H43)</f>
        <v>490</v>
      </c>
      <c r="I45" s="272">
        <f>SUM(I24:I43)</f>
        <v>1234646.4531068972</v>
      </c>
    </row>
    <row r="46" spans="1:9" x14ac:dyDescent="0.25">
      <c r="E46" s="252"/>
      <c r="F46" s="252"/>
    </row>
    <row r="47" spans="1:9" x14ac:dyDescent="0.25">
      <c r="D47" s="255" t="s">
        <v>219</v>
      </c>
      <c r="E47" s="370">
        <f>+(E45+I45)/(D45+H45)</f>
        <v>428.71627827658472</v>
      </c>
      <c r="F47" s="254"/>
    </row>
    <row r="48" spans="1:9" x14ac:dyDescent="0.25">
      <c r="F48" s="254"/>
    </row>
    <row r="49" spans="1:9" x14ac:dyDescent="0.25">
      <c r="E49" s="252"/>
      <c r="F49" s="252"/>
    </row>
    <row r="50" spans="1:9" x14ac:dyDescent="0.25">
      <c r="A50" s="273" t="s">
        <v>184</v>
      </c>
    </row>
    <row r="51" spans="1:9" x14ac:dyDescent="0.25">
      <c r="A51" s="365" t="s">
        <v>212</v>
      </c>
      <c r="B51" s="365"/>
      <c r="C51" s="365"/>
      <c r="D51" s="365"/>
      <c r="E51" s="365"/>
      <c r="G51" s="365" t="s">
        <v>215</v>
      </c>
      <c r="H51" s="365"/>
      <c r="I51" s="365"/>
    </row>
    <row r="52" spans="1:9" x14ac:dyDescent="0.25">
      <c r="A52" s="270" t="s">
        <v>187</v>
      </c>
      <c r="B52" s="270" t="s">
        <v>208</v>
      </c>
      <c r="C52" s="270" t="s">
        <v>209</v>
      </c>
      <c r="D52" s="270"/>
      <c r="E52" s="270"/>
      <c r="G52" s="270" t="s">
        <v>209</v>
      </c>
      <c r="H52" s="270"/>
      <c r="I52" s="270"/>
    </row>
    <row r="53" spans="1:9" x14ac:dyDescent="0.25">
      <c r="A53" s="270" t="s">
        <v>188</v>
      </c>
      <c r="B53" s="270" t="s">
        <v>188</v>
      </c>
      <c r="C53" s="270" t="s">
        <v>210</v>
      </c>
      <c r="D53" s="270" t="s">
        <v>213</v>
      </c>
      <c r="E53" s="270" t="s">
        <v>214</v>
      </c>
      <c r="G53" s="270" t="s">
        <v>216</v>
      </c>
      <c r="H53" s="270" t="s">
        <v>217</v>
      </c>
      <c r="I53" s="270" t="s">
        <v>218</v>
      </c>
    </row>
    <row r="54" spans="1:9" x14ac:dyDescent="0.25">
      <c r="A54" s="271" t="s">
        <v>189</v>
      </c>
      <c r="B54" s="272">
        <v>20</v>
      </c>
      <c r="C54" s="272">
        <f>1*(B54/130)^12</f>
        <v>1.7580843998409351E-10</v>
      </c>
      <c r="D54" s="272">
        <f>77*5+30+30</f>
        <v>445</v>
      </c>
      <c r="E54" s="272">
        <f>+C54*D54</f>
        <v>7.8234755792921607E-8</v>
      </c>
      <c r="G54" s="272">
        <f>12*(B54/130)^12</f>
        <v>2.1097012798091221E-9</v>
      </c>
      <c r="H54" s="272"/>
      <c r="I54" s="250">
        <f>+G54*H54</f>
        <v>0</v>
      </c>
    </row>
    <row r="55" spans="1:9" x14ac:dyDescent="0.25">
      <c r="A55" s="272" t="s">
        <v>190</v>
      </c>
      <c r="B55" s="272">
        <v>35</v>
      </c>
      <c r="C55" s="272">
        <f t="shared" ref="C55:C57" si="4">1*(B55/130)^12</f>
        <v>1.4504284323332356E-7</v>
      </c>
      <c r="D55" s="272"/>
      <c r="E55" s="272">
        <f t="shared" ref="E55:E63" si="5">+C55*D55</f>
        <v>0</v>
      </c>
      <c r="G55" s="272">
        <f t="shared" ref="G55:G73" si="6">12*(B55/130)^12</f>
        <v>1.7405141187998827E-6</v>
      </c>
      <c r="H55" s="250"/>
      <c r="I55" s="250">
        <f t="shared" ref="I55:I73" si="7">+G55*H55</f>
        <v>0</v>
      </c>
    </row>
    <row r="56" spans="1:9" x14ac:dyDescent="0.25">
      <c r="A56" s="272" t="s">
        <v>191</v>
      </c>
      <c r="B56" s="272">
        <v>45</v>
      </c>
      <c r="C56" s="272">
        <f t="shared" si="4"/>
        <v>2.9595790037009225E-6</v>
      </c>
      <c r="D56" s="272">
        <f>33*5</f>
        <v>165</v>
      </c>
      <c r="E56" s="272">
        <f t="shared" si="5"/>
        <v>4.8833053561065222E-4</v>
      </c>
      <c r="G56" s="272">
        <f t="shared" si="6"/>
        <v>3.5514948044411068E-5</v>
      </c>
      <c r="H56" s="250"/>
      <c r="I56" s="250">
        <f t="shared" si="7"/>
        <v>0</v>
      </c>
    </row>
    <row r="57" spans="1:9" x14ac:dyDescent="0.25">
      <c r="A57" s="272" t="s">
        <v>192</v>
      </c>
      <c r="B57" s="272">
        <v>55</v>
      </c>
      <c r="C57" s="272">
        <f t="shared" si="4"/>
        <v>3.2887589747496218E-5</v>
      </c>
      <c r="D57" s="272">
        <f>119*5+30</f>
        <v>625</v>
      </c>
      <c r="E57" s="272">
        <f t="shared" si="5"/>
        <v>2.0554743592185138E-2</v>
      </c>
      <c r="G57" s="272">
        <f t="shared" si="6"/>
        <v>3.9465107696995459E-4</v>
      </c>
      <c r="H57" s="250"/>
      <c r="I57" s="250">
        <f t="shared" si="7"/>
        <v>0</v>
      </c>
    </row>
    <row r="58" spans="1:9" x14ac:dyDescent="0.25">
      <c r="A58" s="272" t="s">
        <v>193</v>
      </c>
      <c r="B58" s="272">
        <v>65</v>
      </c>
      <c r="C58" s="272">
        <f>1*(B58/130)^12</f>
        <v>2.44140625E-4</v>
      </c>
      <c r="D58" s="272">
        <v>385</v>
      </c>
      <c r="E58" s="272">
        <f t="shared" si="5"/>
        <v>9.3994140625E-2</v>
      </c>
      <c r="G58" s="272">
        <f t="shared" si="6"/>
        <v>2.9296875E-3</v>
      </c>
      <c r="H58" s="250">
        <f>31*5</f>
        <v>155</v>
      </c>
      <c r="I58" s="250">
        <f t="shared" si="7"/>
        <v>0.4541015625</v>
      </c>
    </row>
    <row r="59" spans="1:9" x14ac:dyDescent="0.25">
      <c r="A59" s="272" t="s">
        <v>194</v>
      </c>
      <c r="B59" s="272">
        <v>75</v>
      </c>
      <c r="C59" s="272">
        <f t="shared" ref="C59:C61" si="8">1*(B59/130)^12</f>
        <v>1.3596118246436012E-3</v>
      </c>
      <c r="D59" s="272">
        <v>30</v>
      </c>
      <c r="E59" s="272">
        <f t="shared" si="5"/>
        <v>4.0788354739308037E-2</v>
      </c>
      <c r="G59" s="272">
        <f t="shared" si="6"/>
        <v>1.6315341895723215E-2</v>
      </c>
      <c r="H59" s="250"/>
      <c r="I59" s="250">
        <f t="shared" si="7"/>
        <v>0</v>
      </c>
    </row>
    <row r="60" spans="1:9" x14ac:dyDescent="0.25">
      <c r="A60" s="272" t="s">
        <v>195</v>
      </c>
      <c r="B60" s="272">
        <v>85</v>
      </c>
      <c r="C60" s="272">
        <f t="shared" si="8"/>
        <v>6.1052981989030046E-3</v>
      </c>
      <c r="D60" s="272"/>
      <c r="E60" s="272">
        <f t="shared" si="5"/>
        <v>0</v>
      </c>
      <c r="G60" s="272">
        <f t="shared" si="6"/>
        <v>7.3263578386836059E-2</v>
      </c>
      <c r="H60" s="250"/>
      <c r="I60" s="250">
        <f t="shared" si="7"/>
        <v>0</v>
      </c>
    </row>
    <row r="61" spans="1:9" x14ac:dyDescent="0.25">
      <c r="A61" s="272" t="s">
        <v>196</v>
      </c>
      <c r="B61" s="272">
        <v>95</v>
      </c>
      <c r="C61" s="272">
        <f t="shared" si="8"/>
        <v>2.3193326182040046E-2</v>
      </c>
      <c r="D61" s="272"/>
      <c r="E61" s="272">
        <f t="shared" si="5"/>
        <v>0</v>
      </c>
      <c r="G61" s="272">
        <f t="shared" si="6"/>
        <v>0.27831991418448054</v>
      </c>
      <c r="H61" s="250"/>
      <c r="I61" s="250">
        <f t="shared" si="7"/>
        <v>0</v>
      </c>
    </row>
    <row r="62" spans="1:9" x14ac:dyDescent="0.25">
      <c r="A62" s="272" t="s">
        <v>197</v>
      </c>
      <c r="B62" s="272">
        <v>105</v>
      </c>
      <c r="C62" s="272">
        <f>1*(B62/130)^12</f>
        <v>7.7081713650760789E-2</v>
      </c>
      <c r="D62" s="272">
        <v>165</v>
      </c>
      <c r="E62" s="272">
        <f t="shared" si="5"/>
        <v>12.718482752375531</v>
      </c>
      <c r="G62" s="272">
        <f t="shared" si="6"/>
        <v>0.92498056380912952</v>
      </c>
      <c r="H62" s="272"/>
      <c r="I62" s="250">
        <f t="shared" si="7"/>
        <v>0</v>
      </c>
    </row>
    <row r="63" spans="1:9" x14ac:dyDescent="0.25">
      <c r="A63" s="272" t="s">
        <v>198</v>
      </c>
      <c r="B63" s="272">
        <v>115</v>
      </c>
      <c r="C63" s="272">
        <f t="shared" ref="C63:C73" si="9">1*(B63/130)^12</f>
        <v>0.22964334095900002</v>
      </c>
      <c r="D63" s="272">
        <f>119*5</f>
        <v>595</v>
      </c>
      <c r="E63" s="272">
        <f t="shared" si="5"/>
        <v>136.63778787060502</v>
      </c>
      <c r="G63" s="272">
        <f t="shared" si="6"/>
        <v>2.7557200915080005</v>
      </c>
      <c r="H63" s="250"/>
      <c r="I63" s="250">
        <f t="shared" si="7"/>
        <v>0</v>
      </c>
    </row>
    <row r="64" spans="1:9" x14ac:dyDescent="0.25">
      <c r="A64" s="272" t="s">
        <v>199</v>
      </c>
      <c r="B64" s="272">
        <v>125</v>
      </c>
      <c r="C64" s="272">
        <f t="shared" si="9"/>
        <v>0.62459704958006546</v>
      </c>
      <c r="D64" s="272"/>
      <c r="E64" s="272"/>
      <c r="G64" s="272">
        <f t="shared" si="6"/>
        <v>7.4951645949607855</v>
      </c>
      <c r="H64" s="250"/>
      <c r="I64" s="250">
        <f t="shared" si="7"/>
        <v>0</v>
      </c>
    </row>
    <row r="65" spans="1:9" x14ac:dyDescent="0.25">
      <c r="A65" s="272" t="s">
        <v>200</v>
      </c>
      <c r="B65" s="272">
        <v>135</v>
      </c>
      <c r="C65" s="272">
        <f t="shared" si="9"/>
        <v>1.5728416253058253</v>
      </c>
      <c r="D65" s="272"/>
      <c r="E65" s="272"/>
      <c r="G65" s="272">
        <f t="shared" si="6"/>
        <v>18.874099503669903</v>
      </c>
      <c r="H65" s="272"/>
      <c r="I65" s="250">
        <f t="shared" si="7"/>
        <v>0</v>
      </c>
    </row>
    <row r="66" spans="1:9" x14ac:dyDescent="0.25">
      <c r="A66" s="272" t="s">
        <v>201</v>
      </c>
      <c r="B66" s="272">
        <v>145</v>
      </c>
      <c r="C66" s="272">
        <f t="shared" si="9"/>
        <v>3.70762497655533</v>
      </c>
      <c r="D66" s="272"/>
      <c r="E66" s="272"/>
      <c r="G66" s="272">
        <f t="shared" si="6"/>
        <v>44.49149971866396</v>
      </c>
      <c r="H66" s="272">
        <f>15*5</f>
        <v>75</v>
      </c>
      <c r="I66" s="250">
        <f t="shared" si="7"/>
        <v>3336.8624788997968</v>
      </c>
    </row>
    <row r="67" spans="1:9" x14ac:dyDescent="0.25">
      <c r="A67" s="272" t="s">
        <v>202</v>
      </c>
      <c r="B67" s="272">
        <v>155</v>
      </c>
      <c r="C67" s="272">
        <f t="shared" si="9"/>
        <v>8.2539180070992231</v>
      </c>
      <c r="D67" s="272"/>
      <c r="E67" s="272"/>
      <c r="G67" s="272">
        <f t="shared" si="6"/>
        <v>99.047016085190677</v>
      </c>
      <c r="H67" s="272"/>
      <c r="I67" s="250">
        <f t="shared" si="7"/>
        <v>0</v>
      </c>
    </row>
    <row r="68" spans="1:9" x14ac:dyDescent="0.25">
      <c r="A68" s="272" t="s">
        <v>203</v>
      </c>
      <c r="B68" s="272">
        <v>165</v>
      </c>
      <c r="C68" s="272">
        <f t="shared" si="9"/>
        <v>17.477813582999133</v>
      </c>
      <c r="D68" s="272"/>
      <c r="E68" s="272"/>
      <c r="G68" s="272">
        <f t="shared" si="6"/>
        <v>209.73376299598959</v>
      </c>
      <c r="H68" s="272"/>
      <c r="I68" s="250">
        <f t="shared" si="7"/>
        <v>0</v>
      </c>
    </row>
    <row r="69" spans="1:9" x14ac:dyDescent="0.25">
      <c r="A69" s="272" t="s">
        <v>204</v>
      </c>
      <c r="B69" s="272">
        <v>175</v>
      </c>
      <c r="C69" s="272">
        <f t="shared" si="9"/>
        <v>35.410850398760672</v>
      </c>
      <c r="D69" s="272"/>
      <c r="E69" s="272"/>
      <c r="G69" s="272">
        <f t="shared" si="6"/>
        <v>424.93020478512807</v>
      </c>
      <c r="H69" s="272"/>
      <c r="I69" s="250">
        <f t="shared" si="7"/>
        <v>0</v>
      </c>
    </row>
    <row r="70" spans="1:9" x14ac:dyDescent="0.25">
      <c r="A70" s="272" t="s">
        <v>205</v>
      </c>
      <c r="B70" s="272">
        <v>185</v>
      </c>
      <c r="C70" s="272">
        <f t="shared" si="9"/>
        <v>68.982751526647561</v>
      </c>
      <c r="D70" s="272"/>
      <c r="E70" s="272"/>
      <c r="G70" s="272">
        <f t="shared" si="6"/>
        <v>827.79301831977068</v>
      </c>
      <c r="H70" s="272"/>
      <c r="I70" s="250">
        <f t="shared" si="7"/>
        <v>0</v>
      </c>
    </row>
    <row r="71" spans="1:9" x14ac:dyDescent="0.25">
      <c r="A71" s="272" t="s">
        <v>206</v>
      </c>
      <c r="B71" s="272">
        <v>195</v>
      </c>
      <c r="C71" s="272">
        <f t="shared" si="9"/>
        <v>129.746337890625</v>
      </c>
      <c r="D71" s="272"/>
      <c r="E71" s="272"/>
      <c r="G71" s="272">
        <f t="shared" si="6"/>
        <v>1556.9560546875</v>
      </c>
      <c r="H71" s="272"/>
      <c r="I71" s="250">
        <f t="shared" si="7"/>
        <v>0</v>
      </c>
    </row>
    <row r="72" spans="1:9" x14ac:dyDescent="0.25">
      <c r="A72" s="272" t="s">
        <v>207</v>
      </c>
      <c r="B72" s="272">
        <v>205</v>
      </c>
      <c r="C72" s="272">
        <f t="shared" si="9"/>
        <v>236.44280614278321</v>
      </c>
      <c r="D72" s="272"/>
      <c r="E72" s="272"/>
      <c r="G72" s="272">
        <f t="shared" si="6"/>
        <v>2837.3136737133987</v>
      </c>
      <c r="H72" s="272"/>
      <c r="I72" s="250">
        <f t="shared" si="7"/>
        <v>0</v>
      </c>
    </row>
    <row r="73" spans="1:9" x14ac:dyDescent="0.25">
      <c r="A73" s="272" t="s">
        <v>211</v>
      </c>
      <c r="B73" s="272">
        <v>215</v>
      </c>
      <c r="C73" s="272">
        <f t="shared" si="9"/>
        <v>418.73695569080496</v>
      </c>
      <c r="D73" s="272"/>
      <c r="E73" s="272"/>
      <c r="G73" s="272">
        <f t="shared" si="6"/>
        <v>5024.8434682896595</v>
      </c>
      <c r="H73" s="272">
        <f>31*5+15*5</f>
        <v>230</v>
      </c>
      <c r="I73" s="250">
        <f t="shared" si="7"/>
        <v>1155713.9977066217</v>
      </c>
    </row>
    <row r="74" spans="1:9" x14ac:dyDescent="0.25">
      <c r="A74" s="272"/>
      <c r="B74" s="272"/>
      <c r="C74" s="272"/>
      <c r="D74" s="272"/>
      <c r="E74" s="272"/>
      <c r="G74" s="250"/>
      <c r="H74" s="250"/>
      <c r="I74" s="250"/>
    </row>
    <row r="75" spans="1:9" x14ac:dyDescent="0.25">
      <c r="A75" s="250"/>
      <c r="B75" s="250"/>
      <c r="C75" s="250"/>
      <c r="D75" s="272">
        <f>SUM(D54:D73)</f>
        <v>2410</v>
      </c>
      <c r="E75" s="272">
        <f>SUM(E54:E73)</f>
        <v>149.51209627070742</v>
      </c>
      <c r="F75" s="252"/>
      <c r="G75" s="250"/>
      <c r="H75" s="252">
        <f ca="1">SUM(H54:H75)</f>
        <v>1813</v>
      </c>
      <c r="I75" s="252">
        <f ca="1">SUM(I54:I75)</f>
        <v>6834206.133069342</v>
      </c>
    </row>
    <row r="76" spans="1:9" x14ac:dyDescent="0.25">
      <c r="E76" s="252"/>
      <c r="F76" s="252"/>
    </row>
    <row r="77" spans="1:9" x14ac:dyDescent="0.25">
      <c r="D77" s="255" t="s">
        <v>219</v>
      </c>
      <c r="E77" s="371">
        <f ca="1">+(E75+I75)/(D75+H75)</f>
        <v>0</v>
      </c>
      <c r="F77" s="254"/>
    </row>
    <row r="79" spans="1:9" x14ac:dyDescent="0.25">
      <c r="A79" s="273" t="s">
        <v>236</v>
      </c>
    </row>
    <row r="80" spans="1:9" x14ac:dyDescent="0.25">
      <c r="A80" s="365" t="s">
        <v>212</v>
      </c>
      <c r="B80" s="365"/>
      <c r="C80" s="365"/>
      <c r="D80" s="365"/>
      <c r="E80" s="365"/>
      <c r="G80" s="365" t="s">
        <v>215</v>
      </c>
      <c r="H80" s="365"/>
      <c r="I80" s="365"/>
    </row>
    <row r="81" spans="1:9" x14ac:dyDescent="0.25">
      <c r="A81" s="270" t="s">
        <v>187</v>
      </c>
      <c r="B81" s="270" t="s">
        <v>208</v>
      </c>
      <c r="C81" s="270" t="s">
        <v>209</v>
      </c>
      <c r="D81" s="270"/>
      <c r="E81" s="270"/>
      <c r="G81" s="270" t="s">
        <v>209</v>
      </c>
      <c r="H81" s="270"/>
      <c r="I81" s="270"/>
    </row>
    <row r="82" spans="1:9" x14ac:dyDescent="0.25">
      <c r="A82" s="270" t="s">
        <v>188</v>
      </c>
      <c r="B82" s="270" t="s">
        <v>188</v>
      </c>
      <c r="C82" s="270" t="s">
        <v>210</v>
      </c>
      <c r="D82" s="270" t="s">
        <v>213</v>
      </c>
      <c r="E82" s="270" t="s">
        <v>214</v>
      </c>
      <c r="G82" s="270" t="s">
        <v>216</v>
      </c>
      <c r="H82" s="270" t="s">
        <v>217</v>
      </c>
      <c r="I82" s="270" t="s">
        <v>218</v>
      </c>
    </row>
    <row r="83" spans="1:9" x14ac:dyDescent="0.25">
      <c r="A83" s="271" t="s">
        <v>189</v>
      </c>
      <c r="B83" s="272">
        <v>20</v>
      </c>
      <c r="C83" s="272">
        <f>1*(B83/130)^12</f>
        <v>1.7580843998409351E-10</v>
      </c>
      <c r="D83" s="272">
        <f>49*5</f>
        <v>245</v>
      </c>
      <c r="E83" s="272">
        <f>+C83*D83</f>
        <v>4.307306779610291E-8</v>
      </c>
      <c r="G83" s="272">
        <f>12*(B83/130)^12</f>
        <v>2.1097012798091221E-9</v>
      </c>
      <c r="H83" s="272"/>
      <c r="I83" s="250">
        <f>+G83*H83</f>
        <v>0</v>
      </c>
    </row>
    <row r="84" spans="1:9" x14ac:dyDescent="0.25">
      <c r="A84" s="272" t="s">
        <v>190</v>
      </c>
      <c r="B84" s="272">
        <v>35</v>
      </c>
      <c r="C84" s="272">
        <f t="shared" ref="C84:C86" si="10">1*(B84/130)^12</f>
        <v>1.4504284323332356E-7</v>
      </c>
      <c r="D84" s="272"/>
      <c r="E84" s="272">
        <f t="shared" ref="E84:E102" si="11">+C84*D84</f>
        <v>0</v>
      </c>
      <c r="G84" s="272">
        <f t="shared" ref="G84:G102" si="12">12*(B84/130)^12</f>
        <v>1.7405141187998827E-6</v>
      </c>
      <c r="H84" s="250"/>
      <c r="I84" s="250">
        <f t="shared" ref="I84:I102" si="13">+G84*H84</f>
        <v>0</v>
      </c>
    </row>
    <row r="85" spans="1:9" x14ac:dyDescent="0.25">
      <c r="A85" s="272" t="s">
        <v>191</v>
      </c>
      <c r="B85" s="272">
        <v>45</v>
      </c>
      <c r="C85" s="272">
        <f t="shared" si="10"/>
        <v>2.9595790037009225E-6</v>
      </c>
      <c r="D85" s="272"/>
      <c r="E85" s="272">
        <f t="shared" si="11"/>
        <v>0</v>
      </c>
      <c r="G85" s="272">
        <f t="shared" si="12"/>
        <v>3.5514948044411068E-5</v>
      </c>
      <c r="H85" s="250"/>
      <c r="I85" s="250">
        <f t="shared" si="13"/>
        <v>0</v>
      </c>
    </row>
    <row r="86" spans="1:9" x14ac:dyDescent="0.25">
      <c r="A86" s="272" t="s">
        <v>192</v>
      </c>
      <c r="B86" s="272">
        <v>55</v>
      </c>
      <c r="C86" s="272">
        <f t="shared" si="10"/>
        <v>3.2887589747496218E-5</v>
      </c>
      <c r="D86" s="272">
        <f>21*5</f>
        <v>105</v>
      </c>
      <c r="E86" s="272">
        <f t="shared" si="11"/>
        <v>3.4531969234871027E-3</v>
      </c>
      <c r="G86" s="272">
        <f t="shared" si="12"/>
        <v>3.9465107696995459E-4</v>
      </c>
      <c r="H86" s="250"/>
      <c r="I86" s="250">
        <f t="shared" si="13"/>
        <v>0</v>
      </c>
    </row>
    <row r="87" spans="1:9" x14ac:dyDescent="0.25">
      <c r="A87" s="272" t="s">
        <v>193</v>
      </c>
      <c r="B87" s="272">
        <v>65</v>
      </c>
      <c r="C87" s="272">
        <f>1*(B87/130)^12</f>
        <v>2.44140625E-4</v>
      </c>
      <c r="D87" s="272">
        <v>245</v>
      </c>
      <c r="E87" s="272">
        <f t="shared" si="11"/>
        <v>5.9814453125E-2</v>
      </c>
      <c r="G87" s="272">
        <f t="shared" si="12"/>
        <v>2.9296875E-3</v>
      </c>
      <c r="H87" s="250">
        <f>20*5</f>
        <v>100</v>
      </c>
      <c r="I87" s="250">
        <f t="shared" si="13"/>
        <v>0.29296875</v>
      </c>
    </row>
    <row r="88" spans="1:9" x14ac:dyDescent="0.25">
      <c r="A88" s="272" t="s">
        <v>194</v>
      </c>
      <c r="B88" s="272">
        <v>75</v>
      </c>
      <c r="C88" s="272">
        <f t="shared" ref="C88:C90" si="14">1*(B88/130)^12</f>
        <v>1.3596118246436012E-3</v>
      </c>
      <c r="D88" s="272"/>
      <c r="E88" s="272">
        <f t="shared" si="11"/>
        <v>0</v>
      </c>
      <c r="G88" s="272">
        <f t="shared" si="12"/>
        <v>1.6315341895723215E-2</v>
      </c>
      <c r="H88" s="250"/>
      <c r="I88" s="250">
        <f t="shared" si="13"/>
        <v>0</v>
      </c>
    </row>
    <row r="89" spans="1:9" x14ac:dyDescent="0.25">
      <c r="A89" s="272" t="s">
        <v>195</v>
      </c>
      <c r="B89" s="272">
        <v>85</v>
      </c>
      <c r="C89" s="272">
        <f t="shared" si="14"/>
        <v>6.1052981989030046E-3</v>
      </c>
      <c r="D89" s="272"/>
      <c r="E89" s="272">
        <f t="shared" si="11"/>
        <v>0</v>
      </c>
      <c r="G89" s="272">
        <f t="shared" si="12"/>
        <v>7.3263578386836059E-2</v>
      </c>
      <c r="H89" s="250"/>
      <c r="I89" s="250">
        <f t="shared" si="13"/>
        <v>0</v>
      </c>
    </row>
    <row r="90" spans="1:9" x14ac:dyDescent="0.25">
      <c r="A90" s="272" t="s">
        <v>196</v>
      </c>
      <c r="B90" s="272">
        <v>95</v>
      </c>
      <c r="C90" s="272">
        <f t="shared" si="14"/>
        <v>2.3193326182040046E-2</v>
      </c>
      <c r="D90" s="272"/>
      <c r="E90" s="272">
        <f t="shared" si="11"/>
        <v>0</v>
      </c>
      <c r="G90" s="272">
        <f t="shared" si="12"/>
        <v>0.27831991418448054</v>
      </c>
      <c r="H90" s="250"/>
      <c r="I90" s="250">
        <f t="shared" si="13"/>
        <v>0</v>
      </c>
    </row>
    <row r="91" spans="1:9" x14ac:dyDescent="0.25">
      <c r="A91" s="272" t="s">
        <v>197</v>
      </c>
      <c r="B91" s="272">
        <v>105</v>
      </c>
      <c r="C91" s="272">
        <f>1*(B91/130)^12</f>
        <v>7.7081713650760789E-2</v>
      </c>
      <c r="D91" s="272"/>
      <c r="E91" s="272">
        <f t="shared" si="11"/>
        <v>0</v>
      </c>
      <c r="G91" s="272">
        <f t="shared" si="12"/>
        <v>0.92498056380912952</v>
      </c>
      <c r="H91" s="272"/>
      <c r="I91" s="250">
        <f t="shared" si="13"/>
        <v>0</v>
      </c>
    </row>
    <row r="92" spans="1:9" x14ac:dyDescent="0.25">
      <c r="A92" s="272" t="s">
        <v>198</v>
      </c>
      <c r="B92" s="272">
        <v>115</v>
      </c>
      <c r="C92" s="272">
        <f t="shared" ref="C92:C102" si="15">1*(B92/130)^12</f>
        <v>0.22964334095900002</v>
      </c>
      <c r="D92" s="272">
        <f>21*5</f>
        <v>105</v>
      </c>
      <c r="E92" s="272">
        <f t="shared" si="11"/>
        <v>24.112550800695001</v>
      </c>
      <c r="G92" s="272">
        <f t="shared" si="12"/>
        <v>2.7557200915080005</v>
      </c>
      <c r="H92" s="250"/>
      <c r="I92" s="250">
        <f t="shared" si="13"/>
        <v>0</v>
      </c>
    </row>
    <row r="93" spans="1:9" x14ac:dyDescent="0.25">
      <c r="A93" s="272" t="s">
        <v>199</v>
      </c>
      <c r="B93" s="272">
        <v>125</v>
      </c>
      <c r="C93" s="272">
        <f t="shared" si="15"/>
        <v>0.62459704958006546</v>
      </c>
      <c r="D93" s="272"/>
      <c r="E93" s="272">
        <f t="shared" si="11"/>
        <v>0</v>
      </c>
      <c r="G93" s="272">
        <f t="shared" si="12"/>
        <v>7.4951645949607855</v>
      </c>
      <c r="H93" s="250"/>
      <c r="I93" s="250">
        <f t="shared" si="13"/>
        <v>0</v>
      </c>
    </row>
    <row r="94" spans="1:9" x14ac:dyDescent="0.25">
      <c r="A94" s="272" t="s">
        <v>200</v>
      </c>
      <c r="B94" s="272">
        <v>135</v>
      </c>
      <c r="C94" s="272">
        <f t="shared" si="15"/>
        <v>1.5728416253058253</v>
      </c>
      <c r="D94" s="272"/>
      <c r="E94" s="272">
        <f t="shared" si="11"/>
        <v>0</v>
      </c>
      <c r="G94" s="272">
        <f t="shared" si="12"/>
        <v>18.874099503669903</v>
      </c>
      <c r="H94" s="272"/>
      <c r="I94" s="250">
        <f t="shared" si="13"/>
        <v>0</v>
      </c>
    </row>
    <row r="95" spans="1:9" x14ac:dyDescent="0.25">
      <c r="A95" s="272" t="s">
        <v>201</v>
      </c>
      <c r="B95" s="272">
        <v>145</v>
      </c>
      <c r="C95" s="272">
        <f t="shared" si="15"/>
        <v>3.70762497655533</v>
      </c>
      <c r="D95" s="272"/>
      <c r="E95" s="272">
        <f t="shared" si="11"/>
        <v>0</v>
      </c>
      <c r="G95" s="272">
        <f t="shared" si="12"/>
        <v>44.49149971866396</v>
      </c>
      <c r="H95" s="272">
        <f>10*5</f>
        <v>50</v>
      </c>
      <c r="I95" s="250">
        <f t="shared" si="13"/>
        <v>2224.5749859331981</v>
      </c>
    </row>
    <row r="96" spans="1:9" x14ac:dyDescent="0.25">
      <c r="A96" s="272" t="s">
        <v>202</v>
      </c>
      <c r="B96" s="272">
        <v>155</v>
      </c>
      <c r="C96" s="272">
        <f t="shared" si="15"/>
        <v>8.2539180070992231</v>
      </c>
      <c r="D96" s="272"/>
      <c r="E96" s="272">
        <f t="shared" si="11"/>
        <v>0</v>
      </c>
      <c r="G96" s="272">
        <f t="shared" si="12"/>
        <v>99.047016085190677</v>
      </c>
      <c r="H96" s="272"/>
      <c r="I96" s="250">
        <f t="shared" si="13"/>
        <v>0</v>
      </c>
    </row>
    <row r="97" spans="1:9" x14ac:dyDescent="0.25">
      <c r="A97" s="272" t="s">
        <v>203</v>
      </c>
      <c r="B97" s="272">
        <v>165</v>
      </c>
      <c r="C97" s="272">
        <f t="shared" si="15"/>
        <v>17.477813582999133</v>
      </c>
      <c r="D97" s="272"/>
      <c r="E97" s="272">
        <f t="shared" si="11"/>
        <v>0</v>
      </c>
      <c r="G97" s="272">
        <f t="shared" si="12"/>
        <v>209.73376299598959</v>
      </c>
      <c r="H97" s="272"/>
      <c r="I97" s="250">
        <f t="shared" si="13"/>
        <v>0</v>
      </c>
    </row>
    <row r="98" spans="1:9" x14ac:dyDescent="0.25">
      <c r="A98" s="272" t="s">
        <v>204</v>
      </c>
      <c r="B98" s="272">
        <v>175</v>
      </c>
      <c r="C98" s="272">
        <f t="shared" si="15"/>
        <v>35.410850398760672</v>
      </c>
      <c r="D98" s="272"/>
      <c r="E98" s="272">
        <f t="shared" si="11"/>
        <v>0</v>
      </c>
      <c r="G98" s="272">
        <f t="shared" si="12"/>
        <v>424.93020478512807</v>
      </c>
      <c r="H98" s="272"/>
      <c r="I98" s="250">
        <f t="shared" si="13"/>
        <v>0</v>
      </c>
    </row>
    <row r="99" spans="1:9" x14ac:dyDescent="0.25">
      <c r="A99" s="272" t="s">
        <v>205</v>
      </c>
      <c r="B99" s="272">
        <v>185</v>
      </c>
      <c r="C99" s="272">
        <f t="shared" si="15"/>
        <v>68.982751526647561</v>
      </c>
      <c r="D99" s="272"/>
      <c r="E99" s="272">
        <f t="shared" si="11"/>
        <v>0</v>
      </c>
      <c r="G99" s="272">
        <f t="shared" si="12"/>
        <v>827.79301831977068</v>
      </c>
      <c r="H99" s="272"/>
      <c r="I99" s="250">
        <f t="shared" si="13"/>
        <v>0</v>
      </c>
    </row>
    <row r="100" spans="1:9" x14ac:dyDescent="0.25">
      <c r="A100" s="272" t="s">
        <v>206</v>
      </c>
      <c r="B100" s="272">
        <v>195</v>
      </c>
      <c r="C100" s="272">
        <f t="shared" si="15"/>
        <v>129.746337890625</v>
      </c>
      <c r="D100" s="272"/>
      <c r="E100" s="272">
        <f t="shared" si="11"/>
        <v>0</v>
      </c>
      <c r="G100" s="272">
        <f t="shared" si="12"/>
        <v>1556.9560546875</v>
      </c>
      <c r="H100" s="272"/>
      <c r="I100" s="250">
        <f t="shared" si="13"/>
        <v>0</v>
      </c>
    </row>
    <row r="101" spans="1:9" x14ac:dyDescent="0.25">
      <c r="A101" s="272" t="s">
        <v>207</v>
      </c>
      <c r="B101" s="272">
        <v>205</v>
      </c>
      <c r="C101" s="272">
        <f t="shared" si="15"/>
        <v>236.44280614278321</v>
      </c>
      <c r="D101" s="272"/>
      <c r="E101" s="272">
        <f t="shared" si="11"/>
        <v>0</v>
      </c>
      <c r="G101" s="272">
        <f t="shared" si="12"/>
        <v>2837.3136737133987</v>
      </c>
      <c r="H101" s="272"/>
      <c r="I101" s="250">
        <f t="shared" si="13"/>
        <v>0</v>
      </c>
    </row>
    <row r="102" spans="1:9" x14ac:dyDescent="0.25">
      <c r="A102" s="272" t="s">
        <v>211</v>
      </c>
      <c r="B102" s="272">
        <v>215</v>
      </c>
      <c r="C102" s="272">
        <f t="shared" si="15"/>
        <v>418.73695569080496</v>
      </c>
      <c r="D102" s="272"/>
      <c r="E102" s="272">
        <f t="shared" si="11"/>
        <v>0</v>
      </c>
      <c r="G102" s="272">
        <f t="shared" si="12"/>
        <v>5024.8434682896595</v>
      </c>
      <c r="H102" s="272">
        <f>50+100</f>
        <v>150</v>
      </c>
      <c r="I102" s="250">
        <f t="shared" si="13"/>
        <v>753726.5202434489</v>
      </c>
    </row>
    <row r="103" spans="1:9" x14ac:dyDescent="0.25">
      <c r="A103" s="272"/>
      <c r="B103" s="272"/>
      <c r="C103" s="272"/>
      <c r="D103" s="272"/>
      <c r="E103" s="272"/>
      <c r="G103" s="250"/>
      <c r="H103" s="250"/>
      <c r="I103" s="250"/>
    </row>
    <row r="104" spans="1:9" x14ac:dyDescent="0.25">
      <c r="A104" s="250"/>
      <c r="B104" s="250"/>
      <c r="C104" s="250"/>
      <c r="D104" s="272">
        <f>SUM(D83:D102)</f>
        <v>700</v>
      </c>
      <c r="E104" s="272">
        <f>SUM(E83:E102)</f>
        <v>24.175818493816557</v>
      </c>
      <c r="G104" s="250"/>
      <c r="H104" s="252">
        <f>SUM(H83:H102)</f>
        <v>300</v>
      </c>
      <c r="I104" s="252">
        <f>SUM(I83:I102)</f>
        <v>755951.38819813204</v>
      </c>
    </row>
    <row r="105" spans="1:9" x14ac:dyDescent="0.25">
      <c r="E105" s="252"/>
    </row>
    <row r="106" spans="1:9" x14ac:dyDescent="0.25">
      <c r="D106" s="255" t="s">
        <v>219</v>
      </c>
      <c r="E106" s="280">
        <f>+(E104+I104)/7388</f>
        <v>102.32479209754004</v>
      </c>
    </row>
    <row r="108" spans="1:9" x14ac:dyDescent="0.25">
      <c r="A108" s="273" t="s">
        <v>239</v>
      </c>
    </row>
    <row r="109" spans="1:9" x14ac:dyDescent="0.25">
      <c r="A109" s="365" t="s">
        <v>212</v>
      </c>
      <c r="B109" s="365"/>
      <c r="C109" s="365"/>
      <c r="D109" s="365"/>
      <c r="E109" s="365"/>
      <c r="G109" s="365" t="s">
        <v>215</v>
      </c>
      <c r="H109" s="365"/>
      <c r="I109" s="365"/>
    </row>
    <row r="110" spans="1:9" x14ac:dyDescent="0.25">
      <c r="A110" s="270" t="s">
        <v>187</v>
      </c>
      <c r="B110" s="270" t="s">
        <v>208</v>
      </c>
      <c r="C110" s="270" t="s">
        <v>209</v>
      </c>
      <c r="D110" s="270"/>
      <c r="E110" s="270"/>
      <c r="G110" s="270" t="s">
        <v>209</v>
      </c>
      <c r="H110" s="270"/>
      <c r="I110" s="270"/>
    </row>
    <row r="111" spans="1:9" x14ac:dyDescent="0.25">
      <c r="A111" s="270" t="s">
        <v>188</v>
      </c>
      <c r="B111" s="270" t="s">
        <v>188</v>
      </c>
      <c r="C111" s="270" t="s">
        <v>210</v>
      </c>
      <c r="D111" s="270" t="s">
        <v>213</v>
      </c>
      <c r="E111" s="270" t="s">
        <v>214</v>
      </c>
      <c r="G111" s="270" t="s">
        <v>216</v>
      </c>
      <c r="H111" s="270" t="s">
        <v>217</v>
      </c>
      <c r="I111" s="270" t="s">
        <v>218</v>
      </c>
    </row>
    <row r="112" spans="1:9" x14ac:dyDescent="0.25">
      <c r="A112" s="271" t="s">
        <v>189</v>
      </c>
      <c r="B112" s="272">
        <v>20</v>
      </c>
      <c r="C112" s="272">
        <f>1*(B112/130)^12</f>
        <v>1.7580843998409351E-10</v>
      </c>
      <c r="D112" s="272">
        <f>46*5</f>
        <v>230</v>
      </c>
      <c r="E112" s="272">
        <f>+C112*D112</f>
        <v>4.0435941196341506E-8</v>
      </c>
      <c r="G112" s="272">
        <f>12*(B112/130)^12</f>
        <v>2.1097012798091221E-9</v>
      </c>
      <c r="H112" s="272"/>
      <c r="I112" s="250">
        <f>+G112*H112</f>
        <v>0</v>
      </c>
    </row>
    <row r="113" spans="1:9" x14ac:dyDescent="0.25">
      <c r="A113" s="272" t="s">
        <v>190</v>
      </c>
      <c r="B113" s="272">
        <v>35</v>
      </c>
      <c r="C113" s="272">
        <f t="shared" ref="C113:C115" si="16">1*(B113/130)^12</f>
        <v>1.4504284323332356E-7</v>
      </c>
      <c r="D113" s="272"/>
      <c r="E113" s="272">
        <f t="shared" ref="E113:E131" si="17">+C113*D113</f>
        <v>0</v>
      </c>
      <c r="G113" s="272">
        <f t="shared" ref="G113:G131" si="18">12*(B113/130)^12</f>
        <v>1.7405141187998827E-6</v>
      </c>
      <c r="H113" s="250"/>
      <c r="I113" s="250">
        <f t="shared" ref="I113:I131" si="19">+G113*H113</f>
        <v>0</v>
      </c>
    </row>
    <row r="114" spans="1:9" x14ac:dyDescent="0.25">
      <c r="A114" s="272" t="s">
        <v>191</v>
      </c>
      <c r="B114" s="272">
        <v>45</v>
      </c>
      <c r="C114" s="272">
        <f t="shared" si="16"/>
        <v>2.9595790037009225E-6</v>
      </c>
      <c r="D114" s="272"/>
      <c r="E114" s="272">
        <f t="shared" si="17"/>
        <v>0</v>
      </c>
      <c r="G114" s="272">
        <f t="shared" si="18"/>
        <v>3.5514948044411068E-5</v>
      </c>
      <c r="H114" s="250">
        <f>9*5</f>
        <v>45</v>
      </c>
      <c r="I114" s="250">
        <f t="shared" si="19"/>
        <v>1.598172661998498E-3</v>
      </c>
    </row>
    <row r="115" spans="1:9" x14ac:dyDescent="0.25">
      <c r="A115" s="272" t="s">
        <v>192</v>
      </c>
      <c r="B115" s="272">
        <v>55</v>
      </c>
      <c r="C115" s="272">
        <f t="shared" si="16"/>
        <v>3.2887589747496218E-5</v>
      </c>
      <c r="D115" s="272">
        <v>100</v>
      </c>
      <c r="E115" s="272">
        <f t="shared" si="17"/>
        <v>3.2887589747496219E-3</v>
      </c>
      <c r="G115" s="272">
        <f t="shared" si="18"/>
        <v>3.9465107696995459E-4</v>
      </c>
      <c r="H115" s="250"/>
      <c r="I115" s="250">
        <f t="shared" si="19"/>
        <v>0</v>
      </c>
    </row>
    <row r="116" spans="1:9" x14ac:dyDescent="0.25">
      <c r="A116" s="272" t="s">
        <v>193</v>
      </c>
      <c r="B116" s="272">
        <v>65</v>
      </c>
      <c r="C116" s="272">
        <f>1*(B116/130)^12</f>
        <v>2.44140625E-4</v>
      </c>
      <c r="D116" s="272">
        <f>46*5</f>
        <v>230</v>
      </c>
      <c r="E116" s="272">
        <f t="shared" si="17"/>
        <v>5.615234375E-2</v>
      </c>
      <c r="G116" s="272">
        <f t="shared" si="18"/>
        <v>2.9296875E-3</v>
      </c>
      <c r="H116" s="250">
        <f>19*5</f>
        <v>95</v>
      </c>
      <c r="I116" s="250">
        <f t="shared" si="19"/>
        <v>0.2783203125</v>
      </c>
    </row>
    <row r="117" spans="1:9" x14ac:dyDescent="0.25">
      <c r="A117" s="272" t="s">
        <v>194</v>
      </c>
      <c r="B117" s="272">
        <v>75</v>
      </c>
      <c r="C117" s="272">
        <f t="shared" ref="C117:C119" si="20">1*(B117/130)^12</f>
        <v>1.3596118246436012E-3</v>
      </c>
      <c r="D117" s="272"/>
      <c r="E117" s="272">
        <f t="shared" si="17"/>
        <v>0</v>
      </c>
      <c r="G117" s="272">
        <f t="shared" si="18"/>
        <v>1.6315341895723215E-2</v>
      </c>
      <c r="H117" s="250"/>
      <c r="I117" s="250">
        <f t="shared" si="19"/>
        <v>0</v>
      </c>
    </row>
    <row r="118" spans="1:9" x14ac:dyDescent="0.25">
      <c r="A118" s="272" t="s">
        <v>195</v>
      </c>
      <c r="B118" s="272">
        <v>85</v>
      </c>
      <c r="C118" s="272">
        <f t="shared" si="20"/>
        <v>6.1052981989030046E-3</v>
      </c>
      <c r="D118" s="272"/>
      <c r="E118" s="272">
        <f t="shared" si="17"/>
        <v>0</v>
      </c>
      <c r="G118" s="272">
        <f t="shared" si="18"/>
        <v>7.3263578386836059E-2</v>
      </c>
      <c r="H118" s="250"/>
      <c r="I118" s="250">
        <f t="shared" si="19"/>
        <v>0</v>
      </c>
    </row>
    <row r="119" spans="1:9" x14ac:dyDescent="0.25">
      <c r="A119" s="272" t="s">
        <v>196</v>
      </c>
      <c r="B119" s="272">
        <v>95</v>
      </c>
      <c r="C119" s="272">
        <f t="shared" si="20"/>
        <v>2.3193326182040046E-2</v>
      </c>
      <c r="D119" s="272"/>
      <c r="E119" s="272">
        <f t="shared" si="17"/>
        <v>0</v>
      </c>
      <c r="G119" s="272">
        <f t="shared" si="18"/>
        <v>0.27831991418448054</v>
      </c>
      <c r="H119" s="250"/>
      <c r="I119" s="250">
        <f t="shared" si="19"/>
        <v>0</v>
      </c>
    </row>
    <row r="120" spans="1:9" x14ac:dyDescent="0.25">
      <c r="A120" s="272" t="s">
        <v>197</v>
      </c>
      <c r="B120" s="272">
        <v>105</v>
      </c>
      <c r="C120" s="272">
        <f>1*(B120/130)^12</f>
        <v>7.7081713650760789E-2</v>
      </c>
      <c r="D120" s="272">
        <v>100</v>
      </c>
      <c r="E120" s="272">
        <f t="shared" si="17"/>
        <v>7.7081713650760788</v>
      </c>
      <c r="G120" s="272">
        <f t="shared" si="18"/>
        <v>0.92498056380912952</v>
      </c>
      <c r="H120" s="272"/>
      <c r="I120" s="250">
        <f t="shared" si="19"/>
        <v>0</v>
      </c>
    </row>
    <row r="121" spans="1:9" x14ac:dyDescent="0.25">
      <c r="A121" s="272" t="s">
        <v>198</v>
      </c>
      <c r="B121" s="272">
        <v>115</v>
      </c>
      <c r="C121" s="272">
        <f t="shared" ref="C121:C131" si="21">1*(B121/130)^12</f>
        <v>0.22964334095900002</v>
      </c>
      <c r="D121" s="272"/>
      <c r="E121" s="272">
        <f t="shared" si="17"/>
        <v>0</v>
      </c>
      <c r="G121" s="272">
        <f t="shared" si="18"/>
        <v>2.7557200915080005</v>
      </c>
      <c r="H121" s="250"/>
      <c r="I121" s="250">
        <f t="shared" si="19"/>
        <v>0</v>
      </c>
    </row>
    <row r="122" spans="1:9" x14ac:dyDescent="0.25">
      <c r="A122" s="272" t="s">
        <v>199</v>
      </c>
      <c r="B122" s="272">
        <v>125</v>
      </c>
      <c r="C122" s="272">
        <f t="shared" si="21"/>
        <v>0.62459704958006546</v>
      </c>
      <c r="D122" s="272"/>
      <c r="E122" s="272">
        <f t="shared" si="17"/>
        <v>0</v>
      </c>
      <c r="G122" s="272">
        <f t="shared" si="18"/>
        <v>7.4951645949607855</v>
      </c>
      <c r="H122" s="250"/>
      <c r="I122" s="250">
        <f t="shared" si="19"/>
        <v>0</v>
      </c>
    </row>
    <row r="123" spans="1:9" x14ac:dyDescent="0.25">
      <c r="A123" s="272" t="s">
        <v>200</v>
      </c>
      <c r="B123" s="272">
        <v>135</v>
      </c>
      <c r="C123" s="272">
        <f t="shared" si="21"/>
        <v>1.5728416253058253</v>
      </c>
      <c r="D123" s="272"/>
      <c r="E123" s="272">
        <f t="shared" si="17"/>
        <v>0</v>
      </c>
      <c r="G123" s="272">
        <f t="shared" si="18"/>
        <v>18.874099503669903</v>
      </c>
      <c r="H123" s="272"/>
      <c r="I123" s="250">
        <f t="shared" si="19"/>
        <v>0</v>
      </c>
    </row>
    <row r="124" spans="1:9" x14ac:dyDescent="0.25">
      <c r="A124" s="272" t="s">
        <v>201</v>
      </c>
      <c r="B124" s="272">
        <v>145</v>
      </c>
      <c r="C124" s="272">
        <f t="shared" si="21"/>
        <v>3.70762497655533</v>
      </c>
      <c r="D124" s="272"/>
      <c r="E124" s="272">
        <f t="shared" si="17"/>
        <v>0</v>
      </c>
      <c r="G124" s="272">
        <f t="shared" si="18"/>
        <v>44.49149971866396</v>
      </c>
      <c r="H124" s="272"/>
      <c r="I124" s="250">
        <f t="shared" si="19"/>
        <v>0</v>
      </c>
    </row>
    <row r="125" spans="1:9" x14ac:dyDescent="0.25">
      <c r="A125" s="272" t="s">
        <v>202</v>
      </c>
      <c r="B125" s="272">
        <v>155</v>
      </c>
      <c r="C125" s="272">
        <f t="shared" si="21"/>
        <v>8.2539180070992231</v>
      </c>
      <c r="D125" s="272"/>
      <c r="E125" s="272">
        <f t="shared" si="17"/>
        <v>0</v>
      </c>
      <c r="G125" s="272">
        <f t="shared" si="18"/>
        <v>99.047016085190677</v>
      </c>
      <c r="H125" s="272"/>
      <c r="I125" s="250">
        <f t="shared" si="19"/>
        <v>0</v>
      </c>
    </row>
    <row r="126" spans="1:9" x14ac:dyDescent="0.25">
      <c r="A126" s="272" t="s">
        <v>203</v>
      </c>
      <c r="B126" s="272">
        <v>165</v>
      </c>
      <c r="C126" s="272">
        <f t="shared" si="21"/>
        <v>17.477813582999133</v>
      </c>
      <c r="D126" s="272"/>
      <c r="E126" s="272">
        <f t="shared" si="17"/>
        <v>0</v>
      </c>
      <c r="G126" s="272">
        <f t="shared" si="18"/>
        <v>209.73376299598959</v>
      </c>
      <c r="H126" s="272"/>
      <c r="I126" s="250">
        <f t="shared" si="19"/>
        <v>0</v>
      </c>
    </row>
    <row r="127" spans="1:9" x14ac:dyDescent="0.25">
      <c r="A127" s="272" t="s">
        <v>204</v>
      </c>
      <c r="B127" s="272">
        <v>175</v>
      </c>
      <c r="C127" s="272">
        <f t="shared" si="21"/>
        <v>35.410850398760672</v>
      </c>
      <c r="D127" s="272"/>
      <c r="E127" s="272">
        <f t="shared" si="17"/>
        <v>0</v>
      </c>
      <c r="G127" s="272">
        <f t="shared" si="18"/>
        <v>424.93020478512807</v>
      </c>
      <c r="H127" s="272"/>
      <c r="I127" s="250">
        <f t="shared" si="19"/>
        <v>0</v>
      </c>
    </row>
    <row r="128" spans="1:9" x14ac:dyDescent="0.25">
      <c r="A128" s="272" t="s">
        <v>205</v>
      </c>
      <c r="B128" s="272">
        <v>185</v>
      </c>
      <c r="C128" s="272">
        <f t="shared" si="21"/>
        <v>68.982751526647561</v>
      </c>
      <c r="D128" s="272"/>
      <c r="E128" s="272">
        <f t="shared" si="17"/>
        <v>0</v>
      </c>
      <c r="G128" s="272">
        <f t="shared" si="18"/>
        <v>827.79301831977068</v>
      </c>
      <c r="H128" s="272"/>
      <c r="I128" s="250">
        <f t="shared" si="19"/>
        <v>0</v>
      </c>
    </row>
    <row r="129" spans="1:9" x14ac:dyDescent="0.25">
      <c r="A129" s="272" t="s">
        <v>206</v>
      </c>
      <c r="B129" s="272">
        <v>195</v>
      </c>
      <c r="C129" s="272">
        <f t="shared" si="21"/>
        <v>129.746337890625</v>
      </c>
      <c r="D129" s="272"/>
      <c r="E129" s="272">
        <f t="shared" si="17"/>
        <v>0</v>
      </c>
      <c r="G129" s="272">
        <f t="shared" si="18"/>
        <v>1556.9560546875</v>
      </c>
      <c r="H129" s="272"/>
      <c r="I129" s="250">
        <f t="shared" si="19"/>
        <v>0</v>
      </c>
    </row>
    <row r="130" spans="1:9" x14ac:dyDescent="0.25">
      <c r="A130" s="272" t="s">
        <v>207</v>
      </c>
      <c r="B130" s="272">
        <v>205</v>
      </c>
      <c r="C130" s="272">
        <f t="shared" si="21"/>
        <v>236.44280614278321</v>
      </c>
      <c r="D130" s="272"/>
      <c r="E130" s="272">
        <f t="shared" si="17"/>
        <v>0</v>
      </c>
      <c r="G130" s="272">
        <f t="shared" si="18"/>
        <v>2837.3136737133987</v>
      </c>
      <c r="H130" s="272"/>
      <c r="I130" s="250">
        <f t="shared" si="19"/>
        <v>0</v>
      </c>
    </row>
    <row r="131" spans="1:9" x14ac:dyDescent="0.25">
      <c r="A131" s="272" t="s">
        <v>211</v>
      </c>
      <c r="B131" s="272">
        <v>215</v>
      </c>
      <c r="C131" s="272">
        <f t="shared" si="21"/>
        <v>418.73695569080496</v>
      </c>
      <c r="D131" s="272"/>
      <c r="E131" s="272">
        <f t="shared" si="17"/>
        <v>0</v>
      </c>
      <c r="G131" s="272">
        <f t="shared" si="18"/>
        <v>5024.8434682896595</v>
      </c>
      <c r="H131" s="272">
        <f>95+45</f>
        <v>140</v>
      </c>
      <c r="I131" s="250">
        <f t="shared" si="19"/>
        <v>703478.08556055231</v>
      </c>
    </row>
    <row r="132" spans="1:9" x14ac:dyDescent="0.25">
      <c r="A132" s="272"/>
      <c r="B132" s="272"/>
      <c r="C132" s="272"/>
      <c r="D132" s="272"/>
      <c r="E132" s="272"/>
      <c r="G132" s="250"/>
      <c r="H132" s="250"/>
      <c r="I132" s="250"/>
    </row>
    <row r="133" spans="1:9" x14ac:dyDescent="0.25">
      <c r="A133" s="250"/>
      <c r="B133" s="250"/>
      <c r="C133" s="250"/>
      <c r="D133" s="272">
        <f>SUM(D112:D131)</f>
        <v>660</v>
      </c>
      <c r="E133" s="272">
        <f>SUM(E112:E131)</f>
        <v>7.7676125082367697</v>
      </c>
      <c r="G133" s="250"/>
      <c r="H133" s="252">
        <f>SUM(H112:H131)</f>
        <v>280</v>
      </c>
      <c r="I133" s="252">
        <f>SUM(I112:I131)</f>
        <v>703478.36547903751</v>
      </c>
    </row>
    <row r="134" spans="1:9" x14ac:dyDescent="0.25">
      <c r="E134" s="252"/>
    </row>
    <row r="135" spans="1:9" x14ac:dyDescent="0.25">
      <c r="D135" s="255" t="s">
        <v>219</v>
      </c>
      <c r="E135" s="280">
        <f>+(E133+I133)/7388</f>
        <v>95.220104641519455</v>
      </c>
    </row>
  </sheetData>
  <mergeCells count="12">
    <mergeCell ref="A1:C1"/>
    <mergeCell ref="A80:E80"/>
    <mergeCell ref="A109:E109"/>
    <mergeCell ref="A51:E51"/>
    <mergeCell ref="G51:I51"/>
    <mergeCell ref="D2:K2"/>
    <mergeCell ref="D3:I3"/>
    <mergeCell ref="J3:K3"/>
    <mergeCell ref="A21:E21"/>
    <mergeCell ref="G21:I21"/>
    <mergeCell ref="G80:I80"/>
    <mergeCell ref="G109:I10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Verificación Racional-Cl40sur</vt:lpstr>
      <vt:lpstr>Verificación Racional-Cl41sur</vt:lpstr>
      <vt:lpstr>Verificación Racional-Cra3AEste</vt:lpstr>
      <vt:lpstr>Verificación Racional-Cra3CEste</vt:lpstr>
      <vt:lpstr>Verificación Racional-CL43AS</vt:lpstr>
      <vt:lpstr>Verificación Racional-CL43S</vt:lpstr>
      <vt:lpstr>Verificación Racional-CRA 12AE</vt:lpstr>
      <vt:lpstr>Verificación Racional-CRA 12BE</vt:lpstr>
      <vt:lpstr>calculo de Esf La Victoria </vt:lpstr>
      <vt:lpstr>calculo de Esf Altamira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hguerrero</dc:creator>
  <cp:keywords/>
  <dc:description/>
  <cp:lastModifiedBy>Maria E. Amórtegui M.</cp:lastModifiedBy>
  <cp:revision/>
  <dcterms:created xsi:type="dcterms:W3CDTF">2015-08-28T18:58:33Z</dcterms:created>
  <dcterms:modified xsi:type="dcterms:W3CDTF">2022-04-03T00:54:34Z</dcterms:modified>
  <cp:category/>
  <cp:contentStatus/>
</cp:coreProperties>
</file>